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filipemedeiros/Downloads/planilhas_simulador_remuneracao_v4/"/>
    </mc:Choice>
  </mc:AlternateContent>
  <xr:revisionPtr revIDLastSave="0" documentId="13_ncr:1_{56084785-AC98-6742-93D4-88FC674C22E5}" xr6:coauthVersionLast="47" xr6:coauthVersionMax="47" xr10:uidLastSave="{00000000-0000-0000-0000-000000000000}"/>
  <bookViews>
    <workbookView xWindow="0" yWindow="500" windowWidth="28800" windowHeight="16140" xr2:uid="{00000000-000D-0000-FFFF-FFFF00000000}"/>
  </bookViews>
  <sheets>
    <sheet name="Capa" sheetId="1" r:id="rId1"/>
    <sheet name="Ref Custos" sheetId="2" state="hidden" r:id="rId2"/>
    <sheet name="DRE Consultoria" sheetId="3" r:id="rId3"/>
    <sheet name="Sobre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6" i="3" l="1"/>
  <c r="C67" i="3" s="1"/>
  <c r="C64" i="3"/>
  <c r="D64" i="3" s="1"/>
  <c r="E64" i="3" s="1"/>
  <c r="F64" i="3" s="1"/>
  <c r="G64" i="3" s="1"/>
  <c r="C62" i="3"/>
  <c r="D62" i="3" s="1"/>
  <c r="C60" i="3"/>
  <c r="D60" i="3" s="1"/>
  <c r="E60" i="3" s="1"/>
  <c r="F60" i="3" s="1"/>
  <c r="G60" i="3" s="1"/>
  <c r="C40" i="3"/>
  <c r="C39" i="3"/>
  <c r="C38" i="3"/>
  <c r="C37" i="3"/>
  <c r="C51" i="3" s="1"/>
  <c r="G22" i="3"/>
  <c r="F22" i="3"/>
  <c r="E22" i="3"/>
  <c r="D22" i="3"/>
  <c r="C22" i="3"/>
  <c r="D63" i="3" l="1"/>
  <c r="D61" i="3"/>
  <c r="E62" i="3"/>
  <c r="C61" i="3"/>
  <c r="C63" i="3"/>
  <c r="D66" i="3"/>
  <c r="C65" i="3"/>
  <c r="D65" i="3" l="1"/>
  <c r="E66" i="3"/>
  <c r="D67" i="3"/>
  <c r="D78" i="3" s="1"/>
  <c r="C78" i="3"/>
  <c r="C68" i="3"/>
  <c r="E63" i="3"/>
  <c r="E61" i="3"/>
  <c r="F62" i="3"/>
  <c r="D79" i="3" l="1"/>
  <c r="D80" i="3" s="1"/>
  <c r="C72" i="3"/>
  <c r="C73" i="3"/>
  <c r="C71" i="3"/>
  <c r="C74" i="3"/>
  <c r="C92" i="3" s="1"/>
  <c r="F63" i="3"/>
  <c r="F61" i="3"/>
  <c r="G62" i="3"/>
  <c r="C79" i="3"/>
  <c r="C80" i="3" s="1"/>
  <c r="D68" i="3"/>
  <c r="E65" i="3"/>
  <c r="F66" i="3"/>
  <c r="E67" i="3"/>
  <c r="E68" i="3" s="1"/>
  <c r="E73" i="3" l="1"/>
  <c r="E71" i="3"/>
  <c r="E74" i="3"/>
  <c r="E92" i="3" s="1"/>
  <c r="E72" i="3"/>
  <c r="C101" i="3"/>
  <c r="C102" i="3"/>
  <c r="C82" i="3"/>
  <c r="C87" i="3" s="1"/>
  <c r="C90" i="3"/>
  <c r="C91" i="3"/>
  <c r="G66" i="3"/>
  <c r="F67" i="3"/>
  <c r="F68" i="3" s="1"/>
  <c r="F65" i="3"/>
  <c r="E78" i="3"/>
  <c r="G63" i="3"/>
  <c r="G61" i="3"/>
  <c r="D72" i="3"/>
  <c r="D102" i="3" s="1"/>
  <c r="D82" i="3"/>
  <c r="D87" i="3" s="1"/>
  <c r="D73" i="3"/>
  <c r="D101" i="3"/>
  <c r="D71" i="3"/>
  <c r="D74" i="3"/>
  <c r="D92" i="3" s="1"/>
  <c r="F73" i="3" l="1"/>
  <c r="F71" i="3"/>
  <c r="F74" i="3"/>
  <c r="F92" i="3" s="1"/>
  <c r="F72" i="3"/>
  <c r="D88" i="3"/>
  <c r="D90" i="3"/>
  <c r="D95" i="3" s="1"/>
  <c r="D91" i="3"/>
  <c r="G67" i="3"/>
  <c r="G65" i="3"/>
  <c r="F78" i="3"/>
  <c r="E79" i="3"/>
  <c r="E80" i="3" s="1"/>
  <c r="C95" i="3"/>
  <c r="C88" i="3"/>
  <c r="G78" i="3"/>
  <c r="G68" i="3"/>
  <c r="E90" i="3"/>
  <c r="E91" i="3"/>
  <c r="E82" i="3" l="1"/>
  <c r="E87" i="3" s="1"/>
  <c r="E102" i="3"/>
  <c r="E101" i="3"/>
  <c r="G73" i="3"/>
  <c r="G71" i="3"/>
  <c r="G74" i="3"/>
  <c r="G92" i="3" s="1"/>
  <c r="G72" i="3"/>
  <c r="D97" i="3"/>
  <c r="D104" i="3" s="1"/>
  <c r="D96" i="3"/>
  <c r="G79" i="3"/>
  <c r="G80" i="3"/>
  <c r="C97" i="3"/>
  <c r="C104" i="3" s="1"/>
  <c r="C96" i="3"/>
  <c r="F90" i="3"/>
  <c r="F91" i="3"/>
  <c r="F79" i="3"/>
  <c r="F80" i="3" s="1"/>
  <c r="G101" i="3" l="1"/>
  <c r="F82" i="3"/>
  <c r="F87" i="3" s="1"/>
  <c r="F101" i="3"/>
  <c r="B21" i="1" s="1"/>
  <c r="F102" i="3"/>
  <c r="E95" i="3"/>
  <c r="E88" i="3"/>
  <c r="G90" i="3"/>
  <c r="G91" i="3"/>
  <c r="G82" i="3"/>
  <c r="G87" i="3" s="1"/>
  <c r="G102" i="3"/>
  <c r="G95" i="3" l="1"/>
  <c r="G88" i="3"/>
  <c r="F95" i="3"/>
  <c r="F88" i="3"/>
  <c r="E97" i="3"/>
  <c r="E104" i="3" s="1"/>
  <c r="E96" i="3"/>
  <c r="D21" i="1"/>
  <c r="F97" i="3" l="1"/>
  <c r="F104" i="3" s="1"/>
  <c r="F96" i="3"/>
  <c r="G97" i="3"/>
  <c r="G104" i="3" s="1"/>
  <c r="G96" i="3"/>
</calcChain>
</file>

<file path=xl/sharedStrings.xml><?xml version="1.0" encoding="utf-8"?>
<sst xmlns="http://schemas.openxmlformats.org/spreadsheetml/2006/main" count="173" uniqueCount="148">
  <si>
    <t>SIMULADOR DE REMUNERAÇÃO</t>
  </si>
  <si>
    <t>Criação de Consultoria CVM — DRE e Projeção</t>
  </si>
  <si>
    <t>v4.3  |  Março 2026  |  AAWZ Partners</t>
  </si>
  <si>
    <t>SEU PERFIL PROFISSIONAL</t>
  </si>
  <si>
    <t>SÓCIO / FUNDADOR DE CONSULTORIA</t>
  </si>
  <si>
    <t>Gestor de consultoria CVM que deseja simular a DRE gerencial da empresa com múltiplos profissionais, custos operacionais por região e projeção de lucro em 5 anos.</t>
  </si>
  <si>
    <t>→  ACESSAR DRE CONSULTORIA</t>
  </si>
  <si>
    <t>PROJEÇÃO 5 ANOS</t>
  </si>
  <si>
    <t>COMISSÃO TOTAL EQUIPE</t>
  </si>
  <si>
    <t>LUCRO DO SÓCIO</t>
  </si>
  <si>
    <t>soma das comissões pagas — 5 anos</t>
  </si>
  <si>
    <t>resultado acumulado da empresa — 5 anos</t>
  </si>
  <si>
    <t>→  SIMULAR NA DRE</t>
  </si>
  <si>
    <t>ÍNDICE</t>
  </si>
  <si>
    <t>1.  DRE Consultoria</t>
  </si>
  <si>
    <t>→ Acessar</t>
  </si>
  <si>
    <t>2.  Sobre</t>
  </si>
  <si>
    <t>LEGENDA DE CORES</t>
  </si>
  <si>
    <t>Fundo amarelo + fonte azul</t>
  </si>
  <si>
    <t>Células editáveis (inputs)</t>
  </si>
  <si>
    <t>Fonte preta</t>
  </si>
  <si>
    <t>Fórmulas calculadas (protegidas)</t>
  </si>
  <si>
    <t>Fonte verde + sublinhado</t>
  </si>
  <si>
    <t>Links de navegação entre abas</t>
  </si>
  <si>
    <t>Fundo verde claro</t>
  </si>
  <si>
    <t>Resultados e outputs</t>
  </si>
  <si>
    <t>Os números são médias de mercado. O imposto é apurado sobre a receita, e a comissão sobre a receita líquida.</t>
  </si>
  <si>
    <t>Confidencial — Uso exclusivo do profissional. Distribuição proibida sem autorização da AAWZ Partners.</t>
  </si>
  <si>
    <t>Fale com o time AAWZ →  comercial@aawz.com.br</t>
  </si>
  <si>
    <t>Região</t>
  </si>
  <si>
    <t>Aluguel/m²</t>
  </si>
  <si>
    <t>Cond./m²</t>
  </si>
  <si>
    <t>Energia/kWh</t>
  </si>
  <si>
    <t>Cowork/pes</t>
  </si>
  <si>
    <t>Home Office</t>
  </si>
  <si>
    <t>SP (Média)</t>
  </si>
  <si>
    <t>SP (Faria Lima)</t>
  </si>
  <si>
    <t>SP (Paulista)</t>
  </si>
  <si>
    <t>RJ</t>
  </si>
  <si>
    <t>BH</t>
  </si>
  <si>
    <t>Curitiba</t>
  </si>
  <si>
    <t>POA</t>
  </si>
  <si>
    <t>Brasília</t>
  </si>
  <si>
    <t>Florianópolis</t>
  </si>
  <si>
    <t>Salvador</t>
  </si>
  <si>
    <t>Recife</t>
  </si>
  <si>
    <t>Campinas</t>
  </si>
  <si>
    <t>Goiânia</t>
  </si>
  <si>
    <t>Ribeirão Preto</t>
  </si>
  <si>
    <t>DRE — Consultoria de Investimentos</t>
  </si>
  <si>
    <t>← Capa</t>
  </si>
  <si>
    <t>DRE Gerencial com assessores e especialistas</t>
  </si>
  <si>
    <t>Células amarelas são editáveis • Fórmulas protegidas com senha</t>
  </si>
  <si>
    <t>PREMISSAS GERAIS</t>
  </si>
  <si>
    <t>Fee médio cobrado (%/ano)</t>
  </si>
  <si>
    <t>Imposto total - lucro presumido (%)</t>
  </si>
  <si>
    <t>Comissão aos profissionais (%)</t>
  </si>
  <si>
    <t>Crescimento anual do AuC (%)</t>
  </si>
  <si>
    <t>MODELO DE RECEITA</t>
  </si>
  <si>
    <t>Threshold independência (AuC total)</t>
  </si>
  <si>
    <t xml:space="preserve">  Abaixo: plataforma | Acima: independente</t>
  </si>
  <si>
    <t>EQUIPE — PROFISSIONAIS POR ANO</t>
  </si>
  <si>
    <t>Ano 1</t>
  </si>
  <si>
    <t>Ano 2</t>
  </si>
  <si>
    <t>Ano 3</t>
  </si>
  <si>
    <t>Ano 4</t>
  </si>
  <si>
    <t>Ano 5</t>
  </si>
  <si>
    <t>Nº Assessores migrando</t>
  </si>
  <si>
    <t>Nº Especialistas migrando</t>
  </si>
  <si>
    <t>Total profissionais</t>
  </si>
  <si>
    <t>PERFIL — ASSESSOR</t>
  </si>
  <si>
    <t>Carteira média por assessor (R$)</t>
  </si>
  <si>
    <t xml:space="preserve">  Típico: R$ 50-75M</t>
  </si>
  <si>
    <t>% da carteira em fee fixo</t>
  </si>
  <si>
    <t xml:space="preserve">  Converte 100% nos primeiros 6 meses</t>
  </si>
  <si>
    <t>Conversão restante (% acum.)</t>
  </si>
  <si>
    <t>PERFIL — ESPECIALISTA</t>
  </si>
  <si>
    <t>Carteira média por especialista (R$)</t>
  </si>
  <si>
    <t xml:space="preserve">  Típico: R$ 200-300M</t>
  </si>
  <si>
    <t xml:space="preserve">  Especialistas têm pouco fee fixo</t>
  </si>
  <si>
    <t>REGIÃO E WORKSPACE</t>
  </si>
  <si>
    <t>Selecione a região</t>
  </si>
  <si>
    <t>Aluguel comercial (R$/m²/mês)</t>
  </si>
  <si>
    <t xml:space="preserve">  auto (região)</t>
  </si>
  <si>
    <t>Condomínio (R$/m²/mês)</t>
  </si>
  <si>
    <t>Energia elétrica (R$/kWh)</t>
  </si>
  <si>
    <t>Coworking (R$/pessoa/mês)</t>
  </si>
  <si>
    <t>Metragem escritório — Fase 3/4 (m²)</t>
  </si>
  <si>
    <t xml:space="preserve">  Usado apenas quando AuC &gt; R$ 250M</t>
  </si>
  <si>
    <t>CUSTOS EXTRAS ESCRITÓRIO (FASE 3/4)</t>
  </si>
  <si>
    <t>Internet empresarial</t>
  </si>
  <si>
    <t>Limpeza / Copa</t>
  </si>
  <si>
    <t>Material / TI</t>
  </si>
  <si>
    <t>Seguro empresarial</t>
  </si>
  <si>
    <t>IPTU</t>
  </si>
  <si>
    <t>Total escritório/mês (auto)</t>
  </si>
  <si>
    <t>CUSTOS AAWZ (POR FASE)</t>
  </si>
  <si>
    <t>Fase 1 — Hands-On (AuC ≤ R$ 50M)</t>
  </si>
  <si>
    <t>Fase 2 — Crescimento (R$ 50-250M)</t>
  </si>
  <si>
    <t>Fase 3/4 — Boutique (AuC &gt; R$ 250M)</t>
  </si>
  <si>
    <t>PROJEÇÃO — DRE 5 ANOS</t>
  </si>
  <si>
    <t>PL fee fixo por assessor</t>
  </si>
  <si>
    <t>PL comissionamento por assessor</t>
  </si>
  <si>
    <t>AuC (PL) por assessor</t>
  </si>
  <si>
    <t>AuC assessores (total)</t>
  </si>
  <si>
    <t>PL fee fixo por especialista</t>
  </si>
  <si>
    <t>PL comissionamento por especialista</t>
  </si>
  <si>
    <t>AuC (PL) por especialista</t>
  </si>
  <si>
    <t>AuC especialistas (total)</t>
  </si>
  <si>
    <t>AuC (PL) Total da empresa</t>
  </si>
  <si>
    <t>% receita PJ2 - Consultoria</t>
  </si>
  <si>
    <t>Fase do negócio</t>
  </si>
  <si>
    <t>AAWZ mensal (auto)</t>
  </si>
  <si>
    <t>Workspace mensal (auto)</t>
  </si>
  <si>
    <t>DRE GERENCIAL (ANUAL)</t>
  </si>
  <si>
    <t>Receita Bruta</t>
  </si>
  <si>
    <t>(-) Imposto total (lucro presumido)</t>
  </si>
  <si>
    <t>Receita Líquida</t>
  </si>
  <si>
    <t>(-) COGS</t>
  </si>
  <si>
    <t>Lucro Bruto</t>
  </si>
  <si>
    <t>Margem Bruta (%)</t>
  </si>
  <si>
    <t>(-) SG&amp;A</t>
  </si>
  <si>
    <t xml:space="preserve">    AAWZ (anual)</t>
  </si>
  <si>
    <t xml:space="preserve">    Workspace (anual)</t>
  </si>
  <si>
    <t>Lucro</t>
  </si>
  <si>
    <t>Margem de Lucro (%)</t>
  </si>
  <si>
    <t>Resultado mensal (Lucro/12)</t>
  </si>
  <si>
    <t>REMUNERAÇÃO DO PROFISSIONAL (MENSAL)</t>
  </si>
  <si>
    <t>Comissão por assessor (mensal)</t>
  </si>
  <si>
    <t>Comissão por especialista (mensal)</t>
  </si>
  <si>
    <t>Lucro do sócio (mensal)</t>
  </si>
  <si>
    <t>Comissão = receita líquida proporcional ao AuC do profissional × comissão%. Lucro do sócio = resultado da DRE.</t>
  </si>
  <si>
    <t>Fonte: AAWZ Partners, FipeZAP, Regus, 2026. Custos regionais são médias de mercado.</t>
  </si>
  <si>
    <t>Sobre esta planilha</t>
  </si>
  <si>
    <t>Objetivo: Simular a DRE gerencial de uma consultoria CVM com múltiplos profissionais, custos por fase e região, e projeção de lucro em 5 anos.</t>
  </si>
  <si>
    <t>Como usar: 1. Na aba 'DRE Consultoria', altere as células amarelas com suas premissas.</t>
  </si>
  <si>
    <t>2. Defina o número de assessores e especialistas por ano.</t>
  </si>
  <si>
    <t>3. Escolha a região para custos de workspace automáticos.</t>
  </si>
  <si>
    <t>4. Acompanhe Receita, Margem e Lucro na projeção 5 anos.</t>
  </si>
  <si>
    <t>Lógica de cálculo: Imposto sobre a receita bruta. COGS inclui custos variáveis da operação. SG&amp;A inclui custos fixos. Receita Bruta inclui PJ2 adicional.</t>
  </si>
  <si>
    <t>PJ2: Assessores geram 25% de receita adicional desde o ano 1. Especialistas rampam: 0%, 10%, 15%, 20%, 25% (anos 1-5).</t>
  </si>
  <si>
    <t>Estrutura DRE: Receita Bruta → Impostos → Receita Líquida → COGS → Lucro Bruto → SG&amp;A → Lucro.</t>
  </si>
  <si>
    <t>Custos operacionais variam conforme fase do negócio e região escolhida.</t>
  </si>
  <si>
    <t>Convenção de cores: Fundo amarelo + fonte azul = células editáveis (inputs)</t>
  </si>
  <si>
    <t>Fonte preta = fórmulas calculadas (protegidas com senha)</t>
  </si>
  <si>
    <t>Fonte verde = links de navegação entre abas</t>
  </si>
  <si>
    <t>Proteção: Fórmulas protegidas com senha. Apenas células de input são editáveis.</t>
  </si>
  <si>
    <t>Contato: comercial@aawz.com.br  |  aawzpartners.com/aawz-wealth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</si>
</sst>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R\$\ #,##0;\(\R\$\ #,##0\);&quot;&quot;"/>
    <numFmt numFmtId="165" formatCode="0.000"/>
    <numFmt numFmtId="166" formatCode="\R\$\ #,##0"/>
    <numFmt numFmtId="167" formatCode="\R\$\ 0.000"/>
  </numFmts>
  <fonts count="30" x14ac:knownFonts="1">
    <font>
      <sz val="11"/>
      <color theme="1"/>
      <name val="Calibri"/>
      <family val="2"/>
      <scheme val="minor"/>
    </font>
    <font>
      <b/>
      <sz val="24"/>
      <color rgb="FFFFFFFF"/>
      <name val="IBM Plex Sans"/>
    </font>
    <font>
      <sz val="12"/>
      <color rgb="FFA0A0A0"/>
      <name val="IBM Plex Sans"/>
    </font>
    <font>
      <sz val="10"/>
      <color rgb="FFB6E2A5"/>
      <name val="IBM Plex Sans"/>
    </font>
    <font>
      <b/>
      <sz val="12"/>
      <color rgb="FF292927"/>
      <name val="IBM Plex Sans"/>
    </font>
    <font>
      <b/>
      <sz val="14"/>
      <color rgb="FF292927"/>
      <name val="IBM Plex Sans"/>
    </font>
    <font>
      <sz val="10"/>
      <color rgb="FF434343"/>
      <name val="IBM Plex Sans"/>
    </font>
    <font>
      <b/>
      <u/>
      <sz val="11"/>
      <color rgb="FF5E7266"/>
      <name val="IBM Plex Sans"/>
    </font>
    <font>
      <b/>
      <sz val="11"/>
      <color rgb="FF292927"/>
      <name val="IBM Plex Sans"/>
    </font>
    <font>
      <i/>
      <sz val="9"/>
      <color rgb="FF6B7280"/>
      <name val="IBM Plex Sans"/>
    </font>
    <font>
      <b/>
      <sz val="24"/>
      <color rgb="FF5E7266"/>
      <name val="IBM Plex Sans"/>
    </font>
    <font>
      <sz val="10"/>
      <color rgb="FF292927"/>
      <name val="IBM Plex Sans"/>
    </font>
    <font>
      <b/>
      <u/>
      <sz val="10"/>
      <color rgb="FF5E7266"/>
      <name val="IBM Plex Sans"/>
    </font>
    <font>
      <b/>
      <sz val="11"/>
      <color rgb="FF0000FF"/>
      <name val="IBM Plex Sans"/>
    </font>
    <font>
      <sz val="10"/>
      <color rgb="FF000000"/>
      <name val="IBM Plex Sans"/>
    </font>
    <font>
      <u/>
      <sz val="10"/>
      <color rgb="FF008000"/>
      <name val="IBM Plex Sans"/>
    </font>
    <font>
      <sz val="9"/>
      <color rgb="FF6B7280"/>
      <name val="IBM Plex Sans"/>
    </font>
    <font>
      <i/>
      <sz val="8"/>
      <color rgb="FF6B7280"/>
      <name val="IBM Plex Sans"/>
    </font>
    <font>
      <b/>
      <u/>
      <sz val="11"/>
      <color rgb="FFFFFFFF"/>
      <name val="IBM Plex Sans"/>
    </font>
    <font>
      <b/>
      <sz val="8"/>
      <color rgb="FF292927"/>
      <name val="IBM Plex Sans"/>
    </font>
    <font>
      <b/>
      <sz val="20"/>
      <color rgb="FFFFFFFF"/>
      <name val="IBM Plex Sans"/>
    </font>
    <font>
      <sz val="11"/>
      <color rgb="FFA0A0A0"/>
      <name val="IBM Plex Sans"/>
    </font>
    <font>
      <sz val="9"/>
      <color rgb="FFB6E2A5"/>
      <name val="IBM Plex Sans"/>
    </font>
    <font>
      <u/>
      <sz val="9"/>
      <color rgb="FFB6E2A5"/>
      <name val="IBM Plex Sans"/>
    </font>
    <font>
      <b/>
      <sz val="10"/>
      <color rgb="FF292927"/>
      <name val="IBM Plex Sans"/>
    </font>
    <font>
      <b/>
      <sz val="10"/>
      <color rgb="FFFFFFFF"/>
      <name val="IBM Plex Sans"/>
    </font>
    <font>
      <b/>
      <sz val="13"/>
      <color rgb="FFFFFFFF"/>
      <name val="IBM Plex Sans"/>
    </font>
    <font>
      <i/>
      <sz val="10"/>
      <color rgb="FF6B7280"/>
      <name val="IBM Plex Sans"/>
    </font>
    <font>
      <b/>
      <sz val="12"/>
      <color rgb="FFFFFFFF"/>
      <name val="IBM Plex Sans"/>
    </font>
    <font>
      <b/>
      <sz val="11"/>
      <color rgb="FFFFFFFF"/>
      <name val="IBM Plex Sans"/>
    </font>
  </fonts>
  <fills count="11">
    <fill>
      <patternFill patternType="none"/>
    </fill>
    <fill>
      <patternFill patternType="gray125"/>
    </fill>
    <fill>
      <patternFill patternType="solid">
        <fgColor rgb="FF292927"/>
      </patternFill>
    </fill>
    <fill>
      <patternFill patternType="solid">
        <fgColor rgb="FFB6E2A5"/>
      </patternFill>
    </fill>
    <fill>
      <patternFill patternType="solid">
        <fgColor rgb="FFFFFFFF"/>
      </patternFill>
    </fill>
    <fill>
      <patternFill patternType="solid">
        <fgColor rgb="FFE8F5E9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5E7266"/>
      </patternFill>
    </fill>
    <fill>
      <patternFill patternType="solid">
        <fgColor rgb="FFF1F1F1"/>
      </patternFill>
    </fill>
    <fill>
      <patternFill patternType="solid">
        <fgColor rgb="FF363735"/>
      </patternFill>
    </fill>
  </fills>
  <borders count="4">
    <border>
      <left/>
      <right/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/>
      <right/>
      <top style="thin">
        <color rgb="FFE8E8E8"/>
      </top>
      <bottom style="thin">
        <color rgb="FFE8E8E8"/>
      </bottom>
      <diagonal/>
    </border>
    <border>
      <left style="medium">
        <color rgb="FFFFC107"/>
      </left>
      <right style="medium">
        <color rgb="FFFFC107"/>
      </right>
      <top style="medium">
        <color rgb="FFFFC107"/>
      </top>
      <bottom style="medium">
        <color rgb="FFFFC107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0" xfId="0" applyFill="1"/>
    <xf numFmtId="0" fontId="0" fillId="3" borderId="0" xfId="0" applyFill="1"/>
    <xf numFmtId="0" fontId="7" fillId="5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3" fillId="6" borderId="2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9" fillId="9" borderId="2" xfId="0" applyFont="1" applyFill="1" applyBorder="1" applyAlignment="1">
      <alignment horizontal="center" vertical="center"/>
    </xf>
    <xf numFmtId="3" fontId="0" fillId="0" borderId="0" xfId="0" applyNumberFormat="1"/>
    <xf numFmtId="165" fontId="0" fillId="0" borderId="0" xfId="0" applyNumberFormat="1"/>
    <xf numFmtId="164" fontId="0" fillId="0" borderId="0" xfId="0" applyNumberFormat="1"/>
    <xf numFmtId="0" fontId="20" fillId="2" borderId="0" xfId="0" applyFont="1" applyFill="1" applyAlignment="1">
      <alignment horizontal="left" vertical="center"/>
    </xf>
    <xf numFmtId="0" fontId="23" fillId="2" borderId="0" xfId="0" applyFont="1" applyFill="1" applyAlignment="1">
      <alignment horizontal="right" vertical="center"/>
    </xf>
    <xf numFmtId="0" fontId="24" fillId="9" borderId="0" xfId="0" applyFont="1" applyFill="1" applyAlignment="1">
      <alignment horizontal="left" vertical="center"/>
    </xf>
    <xf numFmtId="10" fontId="13" fillId="6" borderId="3" xfId="0" applyNumberFormat="1" applyFont="1" applyFill="1" applyBorder="1" applyAlignment="1" applyProtection="1">
      <alignment horizontal="center" vertical="center"/>
      <protection locked="0"/>
    </xf>
    <xf numFmtId="3" fontId="13" fillId="6" borderId="3" xfId="0" applyNumberFormat="1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24" fillId="9" borderId="0" xfId="0" applyFont="1" applyFill="1" applyAlignment="1">
      <alignment horizontal="center" vertical="center"/>
    </xf>
    <xf numFmtId="0" fontId="6" fillId="9" borderId="0" xfId="0" applyFont="1" applyFill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66" fontId="14" fillId="9" borderId="0" xfId="0" applyNumberFormat="1" applyFont="1" applyFill="1" applyAlignment="1">
      <alignment horizontal="right" vertical="center"/>
    </xf>
    <xf numFmtId="167" fontId="14" fillId="9" borderId="0" xfId="0" applyNumberFormat="1" applyFont="1" applyFill="1" applyAlignment="1">
      <alignment horizontal="right" vertical="center"/>
    </xf>
    <xf numFmtId="164" fontId="14" fillId="9" borderId="0" xfId="0" applyNumberFormat="1" applyFont="1" applyFill="1" applyAlignment="1">
      <alignment horizontal="right" vertical="center"/>
    </xf>
    <xf numFmtId="164" fontId="13" fillId="6" borderId="3" xfId="0" applyNumberFormat="1" applyFont="1" applyFill="1" applyBorder="1" applyAlignment="1" applyProtection="1">
      <alignment horizontal="center" vertical="center"/>
      <protection locked="0"/>
    </xf>
    <xf numFmtId="164" fontId="8" fillId="9" borderId="0" xfId="0" applyNumberFormat="1" applyFont="1" applyFill="1" applyAlignment="1">
      <alignment horizontal="right" vertical="center"/>
    </xf>
    <xf numFmtId="164" fontId="14" fillId="0" borderId="2" xfId="0" applyNumberFormat="1" applyFont="1" applyBorder="1" applyAlignment="1">
      <alignment horizontal="center" vertical="center"/>
    </xf>
    <xf numFmtId="0" fontId="25" fillId="10" borderId="0" xfId="0" applyFont="1" applyFill="1" applyAlignment="1">
      <alignment horizontal="center" vertical="center"/>
    </xf>
    <xf numFmtId="164" fontId="14" fillId="5" borderId="2" xfId="0" applyNumberFormat="1" applyFont="1" applyFill="1" applyBorder="1" applyAlignment="1">
      <alignment horizontal="center" vertical="center"/>
    </xf>
    <xf numFmtId="164" fontId="8" fillId="5" borderId="2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64" fontId="25" fillId="10" borderId="2" xfId="0" applyNumberFormat="1" applyFont="1" applyFill="1" applyBorder="1" applyAlignment="1">
      <alignment horizontal="center" vertical="center"/>
    </xf>
    <xf numFmtId="10" fontId="8" fillId="0" borderId="2" xfId="0" applyNumberFormat="1" applyFont="1" applyBorder="1" applyAlignment="1">
      <alignment horizontal="center" vertical="center"/>
    </xf>
    <xf numFmtId="0" fontId="27" fillId="9" borderId="0" xfId="0" applyFont="1" applyFill="1" applyAlignment="1">
      <alignment horizontal="left" vertical="center"/>
    </xf>
    <xf numFmtId="164" fontId="27" fillId="9" borderId="0" xfId="0" applyNumberFormat="1" applyFont="1" applyFill="1" applyAlignment="1">
      <alignment horizontal="center" vertical="center"/>
    </xf>
    <xf numFmtId="164" fontId="28" fillId="10" borderId="2" xfId="0" applyNumberFormat="1" applyFont="1" applyFill="1" applyBorder="1" applyAlignment="1">
      <alignment horizontal="center" vertical="center"/>
    </xf>
    <xf numFmtId="164" fontId="29" fillId="10" borderId="2" xfId="0" applyNumberFormat="1" applyFont="1" applyFill="1" applyBorder="1" applyAlignment="1">
      <alignment horizontal="center" vertical="center"/>
    </xf>
    <xf numFmtId="164" fontId="8" fillId="7" borderId="2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18" fillId="8" borderId="0" xfId="0" applyFont="1" applyFill="1" applyAlignment="1">
      <alignment horizontal="center" vertical="center"/>
    </xf>
    <xf numFmtId="0" fontId="0" fillId="8" borderId="0" xfId="0" applyFill="1"/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 wrapText="1"/>
    </xf>
    <xf numFmtId="0" fontId="20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/>
    </xf>
    <xf numFmtId="0" fontId="0" fillId="2" borderId="0" xfId="0" applyFill="1"/>
    <xf numFmtId="49" fontId="13" fillId="6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center"/>
    </xf>
    <xf numFmtId="0" fontId="26" fillId="2" borderId="0" xfId="0" applyFont="1" applyFill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24" fillId="3" borderId="0" xfId="0" applyFont="1" applyFill="1" applyAlignment="1">
      <alignment horizontal="center" vertical="center"/>
    </xf>
    <xf numFmtId="0" fontId="0" fillId="3" borderId="0" xfId="0" applyFill="1"/>
    <xf numFmtId="0" fontId="21" fillId="2" borderId="0" xfId="0" applyFont="1" applyFill="1" applyAlignment="1">
      <alignment horizontal="left" vertical="center"/>
    </xf>
  </cellXfs>
  <cellStyles count="1">
    <cellStyle name="Normal" xfId="0" builtinId="0"/>
  </cellStyles>
  <dxfs count="3">
    <dxf>
      <fill>
        <patternFill patternType="solid">
          <fgColor rgb="FFFDE8E8"/>
        </patternFill>
      </fill>
    </dxf>
    <dxf>
      <fill>
        <patternFill patternType="solid">
          <fgColor rgb="FFFDE8E8"/>
        </patternFill>
      </fill>
    </dxf>
    <dxf>
      <fill>
        <patternFill patternType="solid">
          <fgColor rgb="FFFDE8E8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 sz="2800"/>
            </a:pPr>
            <a:r>
              <a:rPr lang="pt-BR" sz="2800"/>
              <a:t>Lucro — Evolução 5 Anos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4205354938271608"/>
          <c:y val="1.5377380952380953E-2"/>
          <c:w val="0.85794645061728392"/>
          <c:h val="0.84821210317460316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'DRE Consultoria'!$B$95</c:f>
              <c:strCache>
                <c:ptCount val="1"/>
                <c:pt idx="0">
                  <c:v>Lucro</c:v>
                </c:pt>
              </c:strCache>
            </c:strRef>
          </c:tx>
          <c:spPr>
            <a:solidFill>
              <a:srgbClr val="5E7266"/>
            </a:solidFill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'DRE Consultoria'!$C$59:$G$59</c:f>
              <c:strCache>
                <c:ptCount val="5"/>
                <c:pt idx="0">
                  <c:v>Ano 1</c:v>
                </c:pt>
                <c:pt idx="1">
                  <c:v>Ano 2</c:v>
                </c:pt>
                <c:pt idx="2">
                  <c:v>Ano 3</c:v>
                </c:pt>
                <c:pt idx="3">
                  <c:v>Ano 4</c:v>
                </c:pt>
                <c:pt idx="4">
                  <c:v>Ano 5</c:v>
                </c:pt>
              </c:strCache>
            </c:strRef>
          </c:cat>
          <c:val>
            <c:numRef>
              <c:f>'DRE Consultoria'!$C$95:$G$95</c:f>
              <c:numCache>
                <c:formatCode>\R\$\ #,##0;\(\R\$\ #,##0\);""</c:formatCode>
                <c:ptCount val="5"/>
                <c:pt idx="0">
                  <c:v>14544</c:v>
                </c:pt>
                <c:pt idx="1">
                  <c:v>39247.020000000019</c:v>
                </c:pt>
                <c:pt idx="2">
                  <c:v>172013.84175000002</c:v>
                </c:pt>
                <c:pt idx="3">
                  <c:v>137654.14680000022</c:v>
                </c:pt>
                <c:pt idx="4">
                  <c:v>566481.64218749991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D819-B944-B188-1D78B885D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/ ano</a:t>
                </a:r>
              </a:p>
            </c:rich>
          </c:tx>
          <c:overlay val="1"/>
        </c:title>
        <c:numFmt formatCode="\R\$\ 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30814999999999998"/>
          <c:y val="0.13859126984126985"/>
          <c:w val="0.23887766669038446"/>
          <c:h val="2.6729422861511157E-2"/>
        </c:manualLayout>
      </c:layout>
      <c:overlay val="0"/>
    </c:legend>
    <c:plotVisOnly val="1"/>
    <c:dispBlanksAs val="gap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2"/>
  <c:chart>
    <c:title>
      <c:tx>
        <c:rich>
          <a:bodyPr/>
          <a:lstStyle/>
          <a:p>
            <a:pPr>
              <a:defRPr sz="2800"/>
            </a:pPr>
            <a:r>
              <a:rPr lang="pt-BR" sz="2800"/>
              <a:t>Receita Bruta vs Lucro Bruto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0479029143860835"/>
          <c:y val="2.7093025011983081E-2"/>
          <c:w val="0.8952097085613917"/>
          <c:h val="0.93916940089362388"/>
        </c:manualLayout>
      </c:layout>
      <c:barChart>
        <c:barDir val="col"/>
        <c:grouping val="clustered"/>
        <c:varyColors val="1"/>
        <c:ser>
          <c:idx val="0"/>
          <c:order val="0"/>
          <c:tx>
            <c:strRef>
              <c:f>'DRE Consultoria'!$B$78</c:f>
              <c:strCache>
                <c:ptCount val="1"/>
                <c:pt idx="0">
                  <c:v>Receita Bruta</c:v>
                </c:pt>
              </c:strCache>
            </c:strRef>
          </c:tx>
          <c:spPr>
            <a:solidFill>
              <a:srgbClr val="363735"/>
            </a:solidFill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'DRE Consultoria'!$C$59:$G$59</c:f>
              <c:strCache>
                <c:ptCount val="5"/>
                <c:pt idx="0">
                  <c:v>Ano 1</c:v>
                </c:pt>
                <c:pt idx="1">
                  <c:v>Ano 2</c:v>
                </c:pt>
                <c:pt idx="2">
                  <c:v>Ano 3</c:v>
                </c:pt>
                <c:pt idx="3">
                  <c:v>Ano 4</c:v>
                </c:pt>
                <c:pt idx="4">
                  <c:v>Ano 5</c:v>
                </c:pt>
              </c:strCache>
            </c:strRef>
          </c:cat>
          <c:val>
            <c:numRef>
              <c:f>'DRE Consultoria'!$C$78:$G$78</c:f>
              <c:numCache>
                <c:formatCode>\R\$\ #,##0;\(\R\$\ #,##0\);""</c:formatCode>
                <c:ptCount val="5"/>
                <c:pt idx="0">
                  <c:v>288000</c:v>
                </c:pt>
                <c:pt idx="1">
                  <c:v>900240.00000000012</c:v>
                </c:pt>
                <c:pt idx="2">
                  <c:v>1623500.9999999998</c:v>
                </c:pt>
                <c:pt idx="3">
                  <c:v>2597601.6</c:v>
                </c:pt>
                <c:pt idx="4">
                  <c:v>3889637.8124999995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BEBE-CE49-A534-F312294372B1}"/>
            </c:ext>
          </c:extLst>
        </c:ser>
        <c:ser>
          <c:idx val="1"/>
          <c:order val="1"/>
          <c:tx>
            <c:strRef>
              <c:f>'DRE Consultoria'!$B$87</c:f>
              <c:strCache>
                <c:ptCount val="1"/>
                <c:pt idx="0">
                  <c:v>Lucro Bruto</c:v>
                </c:pt>
              </c:strCache>
            </c:strRef>
          </c:tx>
          <c:spPr>
            <a:solidFill>
              <a:srgbClr val="5E7266"/>
            </a:solidFill>
            <a:ln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1"/>
            <c:showVal val="1"/>
            <c:showCatName val="0"/>
            <c:showSerName val="0"/>
            <c:showPercent val="1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'DRE Consultoria'!$C$59:$G$59</c:f>
              <c:strCache>
                <c:ptCount val="5"/>
                <c:pt idx="0">
                  <c:v>Ano 1</c:v>
                </c:pt>
                <c:pt idx="1">
                  <c:v>Ano 2</c:v>
                </c:pt>
                <c:pt idx="2">
                  <c:v>Ano 3</c:v>
                </c:pt>
                <c:pt idx="3">
                  <c:v>Ano 4</c:v>
                </c:pt>
                <c:pt idx="4">
                  <c:v>Ano 5</c:v>
                </c:pt>
              </c:strCache>
            </c:strRef>
          </c:cat>
          <c:val>
            <c:numRef>
              <c:f>'DRE Consultoria'!$C$87:$G$87</c:f>
              <c:numCache>
                <c:formatCode>\R\$\ #,##0;\(\R\$\ #,##0\);""</c:formatCode>
                <c:ptCount val="5"/>
                <c:pt idx="0">
                  <c:v>62424</c:v>
                </c:pt>
                <c:pt idx="1">
                  <c:v>195127.02000000002</c:v>
                </c:pt>
                <c:pt idx="2">
                  <c:v>351893.84175000002</c:v>
                </c:pt>
                <c:pt idx="3">
                  <c:v>563030.14680000022</c:v>
                </c:pt>
                <c:pt idx="4">
                  <c:v>991857.64218749991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BEBE-CE49-A534-F31229437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/ ano</a:t>
                </a:r>
              </a:p>
            </c:rich>
          </c:tx>
          <c:overlay val="1"/>
        </c:title>
        <c:numFmt formatCode="\R\$\ 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34621697530864198"/>
          <c:y val="0.13103174603174603"/>
          <c:w val="0.19489705766884971"/>
          <c:h val="3.0425103290319659E-2"/>
        </c:manualLayout>
      </c:layout>
      <c:overlay val="1"/>
    </c:legend>
    <c:plotVisOnly val="1"/>
    <c:dispBlanksAs val="gap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333500" cy="361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637442</xdr:colOff>
      <xdr:row>60</xdr:row>
      <xdr:rowOff>6838</xdr:rowOff>
    </xdr:from>
    <xdr:ext cx="11046558" cy="859176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10</xdr:col>
      <xdr:colOff>279400</xdr:colOff>
      <xdr:row>6</xdr:row>
      <xdr:rowOff>180731</xdr:rowOff>
    </xdr:from>
    <xdr:ext cx="9704754" cy="7548142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6</xdr:col>
      <xdr:colOff>0</xdr:colOff>
      <xdr:row>1</xdr:row>
      <xdr:rowOff>0</xdr:rowOff>
    </xdr:from>
    <xdr:ext cx="1333500" cy="3619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143000" cy="3143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omercial@aawz.com.br?subject=Simulador%20Remunera%C3%A7%C3%A3o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comercial@aawz.com.br?subject=Simulador%20Remunera%C3%A7%C3%A3o" TargetMode="External"/><Relationship Id="rId1" Type="http://schemas.openxmlformats.org/officeDocument/2006/relationships/hyperlink" Target="mailto:comercial@aawz.com.br?subject=Simulador%20Remunera%C3%A7%C3%A3o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mailto:comercial@aawz.com.br?subject=Simulador%20Remunera%C3%A7%C3%A3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6E2A5"/>
  </sheetPr>
  <dimension ref="A1:E41"/>
  <sheetViews>
    <sheetView showGridLines="0" tabSelected="1" workbookViewId="0">
      <selection activeCell="B20" sqref="B20"/>
    </sheetView>
  </sheetViews>
  <sheetFormatPr baseColWidth="10" defaultColWidth="8.83203125" defaultRowHeight="15" x14ac:dyDescent="0.2"/>
  <cols>
    <col min="1" max="1" width="2" customWidth="1"/>
    <col min="2" max="2" width="35" customWidth="1"/>
    <col min="3" max="3" width="4" customWidth="1"/>
    <col min="4" max="4" width="35" customWidth="1"/>
    <col min="5" max="5" width="4" customWidth="1"/>
  </cols>
  <sheetData>
    <row r="1" spans="1:5" ht="12" customHeight="1" x14ac:dyDescent="0.2">
      <c r="A1" s="1"/>
      <c r="B1" s="1"/>
      <c r="C1" s="1"/>
      <c r="D1" s="1"/>
      <c r="E1" s="1"/>
    </row>
    <row r="2" spans="1:5" ht="20" customHeight="1" x14ac:dyDescent="0.2">
      <c r="A2" s="1"/>
      <c r="B2" s="1"/>
      <c r="C2" s="1"/>
      <c r="D2" s="1"/>
      <c r="E2" s="1"/>
    </row>
    <row r="3" spans="1:5" x14ac:dyDescent="0.2">
      <c r="A3" s="1"/>
      <c r="B3" s="1"/>
      <c r="C3" s="1"/>
      <c r="D3" s="1"/>
      <c r="E3" s="1"/>
    </row>
    <row r="4" spans="1:5" ht="31" x14ac:dyDescent="0.2">
      <c r="A4" s="1"/>
      <c r="B4" s="52" t="s">
        <v>0</v>
      </c>
      <c r="C4" s="47"/>
      <c r="D4" s="47"/>
      <c r="E4" s="1"/>
    </row>
    <row r="5" spans="1:5" ht="16" x14ac:dyDescent="0.2">
      <c r="A5" s="1"/>
      <c r="B5" s="48" t="s">
        <v>1</v>
      </c>
      <c r="C5" s="47"/>
      <c r="D5" s="47"/>
      <c r="E5" s="1"/>
    </row>
    <row r="6" spans="1:5" x14ac:dyDescent="0.2">
      <c r="A6" s="1"/>
      <c r="B6" s="56" t="s">
        <v>2</v>
      </c>
      <c r="C6" s="47"/>
      <c r="D6" s="47"/>
      <c r="E6" s="1"/>
    </row>
    <row r="7" spans="1:5" ht="5" customHeight="1" x14ac:dyDescent="0.2">
      <c r="A7" s="2"/>
      <c r="B7" s="2"/>
      <c r="C7" s="2"/>
      <c r="D7" s="2"/>
      <c r="E7" s="2"/>
    </row>
    <row r="8" spans="1:5" ht="14" customHeight="1" x14ac:dyDescent="0.2"/>
    <row r="9" spans="1:5" ht="16" x14ac:dyDescent="0.2">
      <c r="B9" s="51" t="s">
        <v>3</v>
      </c>
      <c r="C9" s="47"/>
      <c r="D9" s="47"/>
    </row>
    <row r="10" spans="1:5" ht="8" customHeight="1" x14ac:dyDescent="0.2"/>
    <row r="11" spans="1:5" ht="36" customHeight="1" x14ac:dyDescent="0.2">
      <c r="B11" s="46" t="s">
        <v>4</v>
      </c>
      <c r="C11" s="47"/>
      <c r="D11" s="47"/>
    </row>
    <row r="12" spans="1:5" ht="52" customHeight="1" x14ac:dyDescent="0.2">
      <c r="B12" s="54" t="s">
        <v>5</v>
      </c>
      <c r="C12" s="47"/>
      <c r="D12" s="47"/>
    </row>
    <row r="13" spans="1:5" ht="30" customHeight="1" x14ac:dyDescent="0.2">
      <c r="B13" s="53" t="s">
        <v>6</v>
      </c>
      <c r="C13" s="47"/>
      <c r="D13" s="47"/>
    </row>
    <row r="14" spans="1:5" ht="8" customHeight="1" x14ac:dyDescent="0.2"/>
    <row r="15" spans="1:5" ht="3" customHeight="1" x14ac:dyDescent="0.2">
      <c r="B15" s="2"/>
      <c r="C15" s="2"/>
      <c r="D15" s="2"/>
    </row>
    <row r="16" spans="1:5" ht="10" customHeight="1" x14ac:dyDescent="0.2"/>
    <row r="17" spans="2:4" ht="16" x14ac:dyDescent="0.2">
      <c r="B17" s="51" t="s">
        <v>7</v>
      </c>
      <c r="C17" s="47"/>
      <c r="D17" s="47"/>
    </row>
    <row r="18" spans="2:4" ht="6" customHeight="1" x14ac:dyDescent="0.2"/>
    <row r="19" spans="2:4" ht="30" customHeight="1" x14ac:dyDescent="0.2">
      <c r="B19" s="4" t="s">
        <v>8</v>
      </c>
      <c r="D19" s="4" t="s">
        <v>9</v>
      </c>
    </row>
    <row r="20" spans="2:4" ht="20" customHeight="1" x14ac:dyDescent="0.2">
      <c r="B20" s="5" t="s">
        <v>10</v>
      </c>
      <c r="D20" s="5" t="s">
        <v>11</v>
      </c>
    </row>
    <row r="21" spans="2:4" ht="50" customHeight="1" x14ac:dyDescent="0.2">
      <c r="B21" s="6">
        <f>SUMPRODUCT('DRE Consultoria'!C101:G101,'DRE Consultoria'!C20:G20)*12+SUMPRODUCT('DRE Consultoria'!C102:G102,'DRE Consultoria'!C21:G21)*12</f>
        <v>5050109.5183874983</v>
      </c>
      <c r="D21" s="6">
        <f>SUM('DRE Consultoria'!C95:G95)</f>
        <v>929940.65073750017</v>
      </c>
    </row>
    <row r="22" spans="2:4" ht="30" customHeight="1" x14ac:dyDescent="0.2">
      <c r="B22" s="3" t="s">
        <v>12</v>
      </c>
      <c r="D22" s="3" t="s">
        <v>12</v>
      </c>
    </row>
    <row r="23" spans="2:4" ht="10" customHeight="1" x14ac:dyDescent="0.2"/>
    <row r="24" spans="2:4" ht="3" customHeight="1" x14ac:dyDescent="0.2">
      <c r="B24" s="2"/>
      <c r="C24" s="2"/>
      <c r="D24" s="2"/>
    </row>
    <row r="25" spans="2:4" ht="10" customHeight="1" x14ac:dyDescent="0.2"/>
    <row r="26" spans="2:4" ht="16" x14ac:dyDescent="0.2">
      <c r="B26" s="51" t="s">
        <v>13</v>
      </c>
      <c r="C26" s="47"/>
      <c r="D26" s="47"/>
    </row>
    <row r="27" spans="2:4" ht="22" customHeight="1" x14ac:dyDescent="0.2">
      <c r="B27" s="7" t="s">
        <v>14</v>
      </c>
      <c r="D27" s="8" t="s">
        <v>15</v>
      </c>
    </row>
    <row r="28" spans="2:4" ht="22" customHeight="1" x14ac:dyDescent="0.2">
      <c r="B28" s="7" t="s">
        <v>16</v>
      </c>
      <c r="D28" s="8" t="s">
        <v>15</v>
      </c>
    </row>
    <row r="29" spans="2:4" ht="10" customHeight="1" x14ac:dyDescent="0.2"/>
    <row r="30" spans="2:4" ht="3" customHeight="1" x14ac:dyDescent="0.2">
      <c r="B30" s="2"/>
      <c r="C30" s="2"/>
      <c r="D30" s="2"/>
    </row>
    <row r="31" spans="2:4" ht="10" customHeight="1" x14ac:dyDescent="0.2"/>
    <row r="32" spans="2:4" ht="16" x14ac:dyDescent="0.2">
      <c r="B32" s="51" t="s">
        <v>17</v>
      </c>
      <c r="C32" s="47"/>
      <c r="D32" s="47"/>
    </row>
    <row r="33" spans="2:4" ht="22" customHeight="1" x14ac:dyDescent="0.2">
      <c r="B33" s="9" t="s">
        <v>18</v>
      </c>
      <c r="D33" s="7" t="s">
        <v>19</v>
      </c>
    </row>
    <row r="34" spans="2:4" ht="22" customHeight="1" x14ac:dyDescent="0.2">
      <c r="B34" s="10" t="s">
        <v>20</v>
      </c>
      <c r="D34" s="7" t="s">
        <v>21</v>
      </c>
    </row>
    <row r="35" spans="2:4" ht="22" customHeight="1" x14ac:dyDescent="0.2">
      <c r="B35" s="11" t="s">
        <v>22</v>
      </c>
      <c r="D35" s="7" t="s">
        <v>23</v>
      </c>
    </row>
    <row r="36" spans="2:4" ht="22" customHeight="1" x14ac:dyDescent="0.2">
      <c r="B36" s="12" t="s">
        <v>24</v>
      </c>
      <c r="D36" s="7" t="s">
        <v>25</v>
      </c>
    </row>
    <row r="37" spans="2:4" ht="10" customHeight="1" x14ac:dyDescent="0.2"/>
    <row r="38" spans="2:4" x14ac:dyDescent="0.2">
      <c r="B38" s="57" t="s">
        <v>26</v>
      </c>
      <c r="C38" s="47"/>
      <c r="D38" s="47"/>
    </row>
    <row r="39" spans="2:4" x14ac:dyDescent="0.2">
      <c r="B39" s="55" t="s">
        <v>27</v>
      </c>
      <c r="C39" s="47"/>
      <c r="D39" s="47"/>
    </row>
    <row r="40" spans="2:4" ht="8" customHeight="1" x14ac:dyDescent="0.2"/>
    <row r="41" spans="2:4" ht="32" customHeight="1" x14ac:dyDescent="0.2">
      <c r="B41" s="49" t="s">
        <v>28</v>
      </c>
      <c r="C41" s="50"/>
      <c r="D41" s="50"/>
    </row>
  </sheetData>
  <sheetProtection password="FF68" sheet="1" formatCells="0" formatColumns="0" formatRows="0"/>
  <mergeCells count="13">
    <mergeCell ref="B11:D11"/>
    <mergeCell ref="B5:D5"/>
    <mergeCell ref="B41:D41"/>
    <mergeCell ref="B32:D32"/>
    <mergeCell ref="B4:D4"/>
    <mergeCell ref="B17:D17"/>
    <mergeCell ref="B9:D9"/>
    <mergeCell ref="B13:D13"/>
    <mergeCell ref="B26:D26"/>
    <mergeCell ref="B12:D12"/>
    <mergeCell ref="B39:D39"/>
    <mergeCell ref="B6:D6"/>
    <mergeCell ref="B38:D38"/>
  </mergeCells>
  <hyperlinks>
    <hyperlink ref="B13" location="'DRE Consultoria'!A1" display="→  ACESSAR DRE CONSULTORIA" xr:uid="{00000000-0004-0000-0000-000000000000}"/>
    <hyperlink ref="B22" location="'DRE Consultoria'!A1" display="→  SIMULAR NA DRE" xr:uid="{00000000-0004-0000-0000-000001000000}"/>
    <hyperlink ref="D22" location="'DRE Consultoria'!A1" display="→  SIMULAR NA DRE" xr:uid="{00000000-0004-0000-0000-000002000000}"/>
    <hyperlink ref="D27" location="'DRE Consultoria'!A1" display="→ Acessar" xr:uid="{00000000-0004-0000-0000-000003000000}"/>
    <hyperlink ref="D28" location="'Sobre'!A1" display="→ Acessar" xr:uid="{00000000-0004-0000-0000-000004000000}"/>
    <hyperlink ref="B41" r:id="rId1" xr:uid="{00000000-0004-0000-0000-00000500000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/>
  </sheetViews>
  <sheetFormatPr baseColWidth="10" defaultColWidth="8.83203125" defaultRowHeight="15" x14ac:dyDescent="0.2"/>
  <cols>
    <col min="1" max="1" width="26" customWidth="1"/>
    <col min="2" max="5" width="13" customWidth="1"/>
  </cols>
  <sheetData>
    <row r="1" spans="1:5" x14ac:dyDescent="0.2">
      <c r="A1" s="13" t="s">
        <v>29</v>
      </c>
      <c r="B1" s="13" t="s">
        <v>30</v>
      </c>
      <c r="C1" s="13" t="s">
        <v>31</v>
      </c>
      <c r="D1" s="13" t="s">
        <v>32</v>
      </c>
      <c r="E1" s="13" t="s">
        <v>33</v>
      </c>
    </row>
    <row r="2" spans="1:5" x14ac:dyDescent="0.2">
      <c r="A2" t="s">
        <v>34</v>
      </c>
      <c r="B2" s="14">
        <v>0</v>
      </c>
      <c r="C2" s="14">
        <v>0</v>
      </c>
      <c r="D2" s="15">
        <v>0</v>
      </c>
      <c r="E2" s="16">
        <v>0</v>
      </c>
    </row>
    <row r="3" spans="1:5" x14ac:dyDescent="0.2">
      <c r="A3" t="s">
        <v>35</v>
      </c>
      <c r="B3" s="14">
        <v>55</v>
      </c>
      <c r="C3" s="14">
        <v>20</v>
      </c>
      <c r="D3" s="15">
        <v>0.64500000000000002</v>
      </c>
      <c r="E3" s="16">
        <v>1000</v>
      </c>
    </row>
    <row r="4" spans="1:5" x14ac:dyDescent="0.2">
      <c r="A4" t="s">
        <v>36</v>
      </c>
      <c r="B4" s="14">
        <v>250</v>
      </c>
      <c r="C4" s="14">
        <v>40</v>
      </c>
      <c r="D4" s="15">
        <v>0.64500000000000002</v>
      </c>
      <c r="E4" s="16">
        <v>1400</v>
      </c>
    </row>
    <row r="5" spans="1:5" x14ac:dyDescent="0.2">
      <c r="A5" t="s">
        <v>37</v>
      </c>
      <c r="B5" s="14">
        <v>100</v>
      </c>
      <c r="C5" s="14">
        <v>25</v>
      </c>
      <c r="D5" s="15">
        <v>0.64500000000000002</v>
      </c>
      <c r="E5" s="16">
        <v>1100</v>
      </c>
    </row>
    <row r="6" spans="1:5" x14ac:dyDescent="0.2">
      <c r="A6" t="s">
        <v>38</v>
      </c>
      <c r="B6" s="14">
        <v>46</v>
      </c>
      <c r="C6" s="14">
        <v>18</v>
      </c>
      <c r="D6" s="15">
        <v>0.77</v>
      </c>
      <c r="E6" s="16">
        <v>1000</v>
      </c>
    </row>
    <row r="7" spans="1:5" x14ac:dyDescent="0.2">
      <c r="A7" t="s">
        <v>39</v>
      </c>
      <c r="B7" s="14">
        <v>35</v>
      </c>
      <c r="C7" s="14">
        <v>14</v>
      </c>
      <c r="D7" s="15">
        <v>0.58199999999999996</v>
      </c>
      <c r="E7" s="16">
        <v>700</v>
      </c>
    </row>
    <row r="8" spans="1:5" x14ac:dyDescent="0.2">
      <c r="A8" t="s">
        <v>40</v>
      </c>
      <c r="B8" s="14">
        <v>38</v>
      </c>
      <c r="C8" s="14">
        <v>14</v>
      </c>
      <c r="D8" s="15">
        <v>0.54400000000000004</v>
      </c>
      <c r="E8" s="16">
        <v>600</v>
      </c>
    </row>
    <row r="9" spans="1:5" x14ac:dyDescent="0.2">
      <c r="A9" t="s">
        <v>41</v>
      </c>
      <c r="B9" s="14">
        <v>35</v>
      </c>
      <c r="C9" s="14">
        <v>13</v>
      </c>
      <c r="D9" s="15">
        <v>0.55100000000000005</v>
      </c>
      <c r="E9" s="16">
        <v>500</v>
      </c>
    </row>
    <row r="10" spans="1:5" x14ac:dyDescent="0.2">
      <c r="A10" t="s">
        <v>42</v>
      </c>
      <c r="B10" s="14">
        <v>38</v>
      </c>
      <c r="C10" s="14">
        <v>16</v>
      </c>
      <c r="D10" s="15">
        <v>0.63200000000000001</v>
      </c>
      <c r="E10" s="16">
        <v>850</v>
      </c>
    </row>
    <row r="11" spans="1:5" x14ac:dyDescent="0.2">
      <c r="A11" t="s">
        <v>43</v>
      </c>
      <c r="B11" s="14">
        <v>47</v>
      </c>
      <c r="C11" s="14">
        <v>16</v>
      </c>
      <c r="D11" s="15">
        <v>0.53100000000000003</v>
      </c>
      <c r="E11" s="16">
        <v>600</v>
      </c>
    </row>
    <row r="12" spans="1:5" x14ac:dyDescent="0.2">
      <c r="A12" t="s">
        <v>44</v>
      </c>
      <c r="B12" s="14">
        <v>33</v>
      </c>
      <c r="C12" s="14">
        <v>12</v>
      </c>
      <c r="D12" s="15">
        <v>0.7</v>
      </c>
      <c r="E12" s="16">
        <v>750</v>
      </c>
    </row>
    <row r="13" spans="1:5" x14ac:dyDescent="0.2">
      <c r="A13" t="s">
        <v>45</v>
      </c>
      <c r="B13" s="14">
        <v>35</v>
      </c>
      <c r="C13" s="14">
        <v>12</v>
      </c>
      <c r="D13" s="15">
        <v>0.70599999999999996</v>
      </c>
      <c r="E13" s="16">
        <v>700</v>
      </c>
    </row>
    <row r="14" spans="1:5" x14ac:dyDescent="0.2">
      <c r="A14" t="s">
        <v>46</v>
      </c>
      <c r="B14" s="14">
        <v>35</v>
      </c>
      <c r="C14" s="14">
        <v>14</v>
      </c>
      <c r="D14" s="15">
        <v>0.625</v>
      </c>
      <c r="E14" s="16">
        <v>525</v>
      </c>
    </row>
    <row r="15" spans="1:5" x14ac:dyDescent="0.2">
      <c r="A15" t="s">
        <v>47</v>
      </c>
      <c r="B15" s="14">
        <v>30</v>
      </c>
      <c r="C15" s="14">
        <v>12</v>
      </c>
      <c r="D15" s="15">
        <v>0.67100000000000004</v>
      </c>
      <c r="E15" s="16">
        <v>500</v>
      </c>
    </row>
    <row r="16" spans="1:5" x14ac:dyDescent="0.2">
      <c r="A16" t="s">
        <v>48</v>
      </c>
      <c r="B16" s="14">
        <v>30</v>
      </c>
      <c r="C16" s="14">
        <v>12</v>
      </c>
      <c r="D16" s="15">
        <v>0.625</v>
      </c>
      <c r="E16" s="16">
        <v>500</v>
      </c>
    </row>
  </sheetData>
  <sheetProtection password="FF68" sheet="1" formatCells="0" formatColumns="0" formatRows="0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5E7266"/>
  </sheetPr>
  <dimension ref="A1:H110"/>
  <sheetViews>
    <sheetView showGridLines="0" zoomScale="113" workbookViewId="0">
      <pane ySplit="6" topLeftCell="A95" activePane="bottomLeft" state="frozen"/>
      <selection pane="bottomLeft" activeCell="B108" sqref="B108:G108"/>
    </sheetView>
  </sheetViews>
  <sheetFormatPr baseColWidth="10" defaultColWidth="8.83203125" defaultRowHeight="15" x14ac:dyDescent="0.2"/>
  <cols>
    <col min="1" max="1" width="2" customWidth="1"/>
    <col min="2" max="2" width="38" customWidth="1"/>
    <col min="3" max="7" width="18" customWidth="1"/>
    <col min="8" max="8" width="3" customWidth="1"/>
    <col min="9" max="9" width="2" customWidth="1"/>
    <col min="10" max="15" width="14" customWidth="1"/>
  </cols>
  <sheetData>
    <row r="1" spans="1:8" ht="10" customHeight="1" x14ac:dyDescent="0.2">
      <c r="A1" s="1"/>
      <c r="B1" s="1"/>
      <c r="C1" s="1"/>
      <c r="D1" s="1"/>
      <c r="E1" s="1"/>
      <c r="F1" s="1"/>
      <c r="G1" s="1"/>
      <c r="H1" s="1"/>
    </row>
    <row r="2" spans="1:8" ht="26" x14ac:dyDescent="0.2">
      <c r="A2" s="1"/>
      <c r="B2" s="58" t="s">
        <v>49</v>
      </c>
      <c r="C2" s="47"/>
      <c r="D2" s="47"/>
      <c r="E2" s="47"/>
      <c r="F2" s="47"/>
      <c r="G2" s="47"/>
      <c r="H2" s="18" t="s">
        <v>50</v>
      </c>
    </row>
    <row r="3" spans="1:8" x14ac:dyDescent="0.2">
      <c r="A3" s="1"/>
      <c r="B3" s="68" t="s">
        <v>51</v>
      </c>
      <c r="C3" s="47"/>
      <c r="D3" s="47"/>
      <c r="E3" s="47"/>
      <c r="F3" s="47"/>
      <c r="G3" s="47"/>
      <c r="H3" s="1"/>
    </row>
    <row r="4" spans="1:8" x14ac:dyDescent="0.2">
      <c r="A4" s="1"/>
      <c r="B4" s="64" t="s">
        <v>52</v>
      </c>
      <c r="C4" s="47"/>
      <c r="D4" s="47"/>
      <c r="E4" s="47"/>
      <c r="F4" s="47"/>
      <c r="G4" s="47"/>
      <c r="H4" s="1"/>
    </row>
    <row r="5" spans="1:8" ht="32" customHeight="1" x14ac:dyDescent="0.2">
      <c r="B5" s="49" t="s">
        <v>28</v>
      </c>
      <c r="C5" s="50"/>
      <c r="D5" s="50"/>
      <c r="E5" s="50"/>
      <c r="F5" s="50"/>
      <c r="G5" s="50"/>
    </row>
    <row r="6" spans="1:8" ht="6" customHeight="1" x14ac:dyDescent="0.2"/>
    <row r="7" spans="1:8" x14ac:dyDescent="0.2">
      <c r="B7" s="66" t="s">
        <v>53</v>
      </c>
      <c r="C7" s="67"/>
      <c r="D7" s="67"/>
      <c r="E7" s="67"/>
      <c r="F7" s="67"/>
      <c r="G7" s="67"/>
    </row>
    <row r="8" spans="1:8" x14ac:dyDescent="0.2">
      <c r="B8" s="19" t="s">
        <v>54</v>
      </c>
      <c r="C8" s="20">
        <v>6.0000000000000001E-3</v>
      </c>
    </row>
    <row r="9" spans="1:8" x14ac:dyDescent="0.2">
      <c r="B9" s="19" t="s">
        <v>55</v>
      </c>
      <c r="C9" s="20">
        <v>0.15</v>
      </c>
    </row>
    <row r="10" spans="1:8" x14ac:dyDescent="0.2">
      <c r="B10" s="19" t="s">
        <v>56</v>
      </c>
      <c r="C10" s="20">
        <v>0.7</v>
      </c>
    </row>
    <row r="11" spans="1:8" x14ac:dyDescent="0.2">
      <c r="B11" s="19" t="s">
        <v>57</v>
      </c>
      <c r="C11" s="20">
        <v>0.15</v>
      </c>
    </row>
    <row r="12" spans="1:8" ht="6" customHeight="1" x14ac:dyDescent="0.2"/>
    <row r="13" spans="1:8" x14ac:dyDescent="0.2">
      <c r="B13" s="59" t="s">
        <v>58</v>
      </c>
      <c r="C13" s="60"/>
      <c r="D13" s="60"/>
      <c r="E13" s="60"/>
      <c r="F13" s="60"/>
      <c r="G13" s="60"/>
    </row>
    <row r="14" spans="1:8" x14ac:dyDescent="0.2">
      <c r="B14" s="19" t="s">
        <v>59</v>
      </c>
      <c r="C14" s="21">
        <v>500000000</v>
      </c>
      <c r="D14" s="22" t="s">
        <v>60</v>
      </c>
    </row>
    <row r="15" spans="1:8" hidden="1" x14ac:dyDescent="0.2">
      <c r="C15">
        <v>0.15</v>
      </c>
    </row>
    <row r="16" spans="1:8" ht="6" customHeight="1" x14ac:dyDescent="0.2"/>
    <row r="17" spans="2:7" ht="6" customHeight="1" x14ac:dyDescent="0.2"/>
    <row r="18" spans="2:7" x14ac:dyDescent="0.2">
      <c r="B18" s="59" t="s">
        <v>61</v>
      </c>
      <c r="C18" s="60"/>
      <c r="D18" s="60"/>
      <c r="E18" s="60"/>
      <c r="F18" s="60"/>
      <c r="G18" s="60"/>
    </row>
    <row r="19" spans="2:7" x14ac:dyDescent="0.2">
      <c r="B19" s="23"/>
      <c r="C19" s="23" t="s">
        <v>62</v>
      </c>
      <c r="D19" s="23" t="s">
        <v>63</v>
      </c>
      <c r="E19" s="23" t="s">
        <v>64</v>
      </c>
      <c r="F19" s="23" t="s">
        <v>65</v>
      </c>
      <c r="G19" s="23" t="s">
        <v>66</v>
      </c>
    </row>
    <row r="20" spans="2:7" x14ac:dyDescent="0.2">
      <c r="B20" s="19" t="s">
        <v>67</v>
      </c>
      <c r="C20" s="21">
        <v>2</v>
      </c>
      <c r="D20" s="21">
        <v>4</v>
      </c>
      <c r="E20" s="21">
        <v>6</v>
      </c>
      <c r="F20" s="21">
        <v>8</v>
      </c>
      <c r="G20" s="21">
        <v>10</v>
      </c>
    </row>
    <row r="21" spans="2:7" x14ac:dyDescent="0.2">
      <c r="B21" s="19" t="s">
        <v>68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</row>
    <row r="22" spans="2:7" x14ac:dyDescent="0.2">
      <c r="B22" s="24" t="s">
        <v>69</v>
      </c>
      <c r="C22" s="25">
        <f>C20+C21</f>
        <v>2</v>
      </c>
      <c r="D22" s="25">
        <f>D20+D21</f>
        <v>4</v>
      </c>
      <c r="E22" s="25">
        <f>E20+E21</f>
        <v>6</v>
      </c>
      <c r="F22" s="25">
        <f>F20+F21</f>
        <v>8</v>
      </c>
      <c r="G22" s="25">
        <f>G20+G21</f>
        <v>10</v>
      </c>
    </row>
    <row r="23" spans="2:7" ht="6" customHeight="1" x14ac:dyDescent="0.2"/>
    <row r="24" spans="2:7" x14ac:dyDescent="0.2">
      <c r="B24" s="59" t="s">
        <v>70</v>
      </c>
      <c r="C24" s="60"/>
      <c r="D24" s="60"/>
      <c r="E24" s="60"/>
      <c r="F24" s="60"/>
      <c r="G24" s="60"/>
    </row>
    <row r="25" spans="2:7" x14ac:dyDescent="0.2">
      <c r="B25" s="19" t="s">
        <v>71</v>
      </c>
      <c r="C25" s="21">
        <v>50000000</v>
      </c>
      <c r="D25" s="22" t="s">
        <v>72</v>
      </c>
    </row>
    <row r="26" spans="2:7" x14ac:dyDescent="0.2">
      <c r="B26" s="19" t="s">
        <v>73</v>
      </c>
      <c r="C26" s="20">
        <v>0.35</v>
      </c>
      <c r="D26" s="22" t="s">
        <v>74</v>
      </c>
    </row>
    <row r="27" spans="2:7" x14ac:dyDescent="0.2">
      <c r="B27" s="24" t="s">
        <v>75</v>
      </c>
      <c r="C27" s="20">
        <v>0.2</v>
      </c>
      <c r="D27" s="20">
        <v>0.4</v>
      </c>
      <c r="E27" s="20">
        <v>0.4</v>
      </c>
      <c r="F27" s="20">
        <v>0.4</v>
      </c>
      <c r="G27" s="20">
        <v>0.4</v>
      </c>
    </row>
    <row r="28" spans="2:7" ht="6" customHeight="1" x14ac:dyDescent="0.2"/>
    <row r="29" spans="2:7" x14ac:dyDescent="0.2">
      <c r="B29" s="59" t="s">
        <v>76</v>
      </c>
      <c r="C29" s="60"/>
      <c r="D29" s="60"/>
      <c r="E29" s="60"/>
      <c r="F29" s="60"/>
      <c r="G29" s="60"/>
    </row>
    <row r="30" spans="2:7" x14ac:dyDescent="0.2">
      <c r="B30" s="19" t="s">
        <v>77</v>
      </c>
      <c r="C30" s="21">
        <v>250000000</v>
      </c>
      <c r="D30" s="22" t="s">
        <v>78</v>
      </c>
    </row>
    <row r="31" spans="2:7" x14ac:dyDescent="0.2">
      <c r="B31" s="19" t="s">
        <v>73</v>
      </c>
      <c r="C31" s="20">
        <v>0.05</v>
      </c>
      <c r="D31" s="22" t="s">
        <v>79</v>
      </c>
    </row>
    <row r="32" spans="2:7" x14ac:dyDescent="0.2">
      <c r="B32" s="24" t="s">
        <v>75</v>
      </c>
      <c r="C32" s="20">
        <v>0.2</v>
      </c>
      <c r="D32" s="20">
        <v>0.4</v>
      </c>
      <c r="E32" s="20">
        <v>0.4</v>
      </c>
      <c r="F32" s="20">
        <v>0.4</v>
      </c>
      <c r="G32" s="20">
        <v>0.4</v>
      </c>
    </row>
    <row r="33" spans="2:7" ht="6" customHeight="1" x14ac:dyDescent="0.2"/>
    <row r="34" spans="2:7" x14ac:dyDescent="0.2">
      <c r="B34" s="59" t="s">
        <v>80</v>
      </c>
      <c r="C34" s="60"/>
      <c r="D34" s="60"/>
      <c r="E34" s="60"/>
      <c r="F34" s="60"/>
      <c r="G34" s="60"/>
    </row>
    <row r="35" spans="2:7" x14ac:dyDescent="0.2">
      <c r="B35" s="19" t="s">
        <v>81</v>
      </c>
      <c r="C35" s="61" t="s">
        <v>35</v>
      </c>
      <c r="D35" s="47"/>
    </row>
    <row r="36" spans="2:7" ht="4" customHeight="1" x14ac:dyDescent="0.2"/>
    <row r="37" spans="2:7" x14ac:dyDescent="0.2">
      <c r="B37" s="24" t="s">
        <v>82</v>
      </c>
      <c r="C37" s="26">
        <f>VLOOKUP($C$35,'Ref Custos'!$A$2:$E$16,2,FALSE)</f>
        <v>55</v>
      </c>
      <c r="D37" s="22" t="s">
        <v>83</v>
      </c>
    </row>
    <row r="38" spans="2:7" x14ac:dyDescent="0.2">
      <c r="B38" s="24" t="s">
        <v>84</v>
      </c>
      <c r="C38" s="26">
        <f>VLOOKUP($C$35,'Ref Custos'!$A$2:$E$16,3,FALSE)</f>
        <v>20</v>
      </c>
    </row>
    <row r="39" spans="2:7" x14ac:dyDescent="0.2">
      <c r="B39" s="24" t="s">
        <v>85</v>
      </c>
      <c r="C39" s="27">
        <f>VLOOKUP($C$35,'Ref Custos'!$A$2:$E$16,4,FALSE)</f>
        <v>0.64500000000000002</v>
      </c>
    </row>
    <row r="40" spans="2:7" x14ac:dyDescent="0.2">
      <c r="B40" s="24" t="s">
        <v>86</v>
      </c>
      <c r="C40" s="28">
        <f>VLOOKUP($C$35,'Ref Custos'!$A$2:$E$16,5,FALSE)</f>
        <v>1000</v>
      </c>
    </row>
    <row r="41" spans="2:7" ht="4" customHeight="1" x14ac:dyDescent="0.2"/>
    <row r="42" spans="2:7" x14ac:dyDescent="0.2">
      <c r="B42" s="19" t="s">
        <v>87</v>
      </c>
      <c r="C42" s="21">
        <v>120</v>
      </c>
      <c r="D42" s="22" t="s">
        <v>88</v>
      </c>
    </row>
    <row r="43" spans="2:7" ht="6" customHeight="1" x14ac:dyDescent="0.2"/>
    <row r="44" spans="2:7" x14ac:dyDescent="0.2">
      <c r="B44" s="59" t="s">
        <v>89</v>
      </c>
      <c r="C44" s="60"/>
      <c r="D44" s="60"/>
    </row>
    <row r="45" spans="2:7" x14ac:dyDescent="0.2">
      <c r="B45" s="24" t="s">
        <v>90</v>
      </c>
      <c r="C45" s="29">
        <v>500</v>
      </c>
    </row>
    <row r="46" spans="2:7" x14ac:dyDescent="0.2">
      <c r="B46" s="24" t="s">
        <v>91</v>
      </c>
      <c r="C46" s="29">
        <v>1200</v>
      </c>
    </row>
    <row r="47" spans="2:7" x14ac:dyDescent="0.2">
      <c r="B47" s="24" t="s">
        <v>92</v>
      </c>
      <c r="C47" s="29">
        <v>500</v>
      </c>
    </row>
    <row r="48" spans="2:7" x14ac:dyDescent="0.2">
      <c r="B48" s="24" t="s">
        <v>93</v>
      </c>
      <c r="C48" s="29">
        <v>300</v>
      </c>
    </row>
    <row r="49" spans="2:7" x14ac:dyDescent="0.2">
      <c r="B49" s="24" t="s">
        <v>94</v>
      </c>
      <c r="C49" s="29">
        <v>400</v>
      </c>
    </row>
    <row r="50" spans="2:7" ht="4" customHeight="1" x14ac:dyDescent="0.2"/>
    <row r="51" spans="2:7" x14ac:dyDescent="0.2">
      <c r="B51" s="19" t="s">
        <v>95</v>
      </c>
      <c r="C51" s="30">
        <f>IF($C$37=0,0,$C$42*($C$37+$C$38)+$C$42*20*$C$39+SUM($C$45:$C$49))</f>
        <v>13448</v>
      </c>
    </row>
    <row r="52" spans="2:7" ht="6" customHeight="1" x14ac:dyDescent="0.2"/>
    <row r="53" spans="2:7" x14ac:dyDescent="0.2">
      <c r="B53" s="59" t="s">
        <v>96</v>
      </c>
      <c r="C53" s="60"/>
      <c r="D53" s="60"/>
    </row>
    <row r="54" spans="2:7" x14ac:dyDescent="0.2">
      <c r="B54" s="24" t="s">
        <v>97</v>
      </c>
      <c r="C54" s="31">
        <v>3990</v>
      </c>
    </row>
    <row r="55" spans="2:7" x14ac:dyDescent="0.2">
      <c r="B55" s="24" t="s">
        <v>98</v>
      </c>
      <c r="C55" s="31">
        <v>8990</v>
      </c>
    </row>
    <row r="56" spans="2:7" x14ac:dyDescent="0.2">
      <c r="B56" s="24" t="s">
        <v>99</v>
      </c>
      <c r="C56" s="31">
        <v>22000</v>
      </c>
    </row>
    <row r="57" spans="2:7" ht="6" customHeight="1" x14ac:dyDescent="0.2"/>
    <row r="58" spans="2:7" x14ac:dyDescent="0.2">
      <c r="B58" s="59" t="s">
        <v>100</v>
      </c>
      <c r="C58" s="60"/>
      <c r="D58" s="60"/>
      <c r="E58" s="60"/>
      <c r="F58" s="60"/>
      <c r="G58" s="60"/>
    </row>
    <row r="59" spans="2:7" x14ac:dyDescent="0.2">
      <c r="B59" s="32"/>
      <c r="C59" s="32" t="s">
        <v>62</v>
      </c>
      <c r="D59" s="32" t="s">
        <v>63</v>
      </c>
      <c r="E59" s="32" t="s">
        <v>64</v>
      </c>
      <c r="F59" s="32" t="s">
        <v>65</v>
      </c>
      <c r="G59" s="32" t="s">
        <v>66</v>
      </c>
    </row>
    <row r="60" spans="2:7" x14ac:dyDescent="0.2">
      <c r="B60" s="24" t="s">
        <v>101</v>
      </c>
      <c r="C60" s="33">
        <f>$C$25*$C$26</f>
        <v>17500000</v>
      </c>
      <c r="D60" s="33">
        <f>C60*(1+$C$11)</f>
        <v>20125000</v>
      </c>
      <c r="E60" s="33">
        <f>D60*(1+$C$11)</f>
        <v>23143750</v>
      </c>
      <c r="F60" s="33">
        <f>E60*(1+$C$11)</f>
        <v>26615312.499999996</v>
      </c>
      <c r="G60" s="33">
        <f>F60*(1+$C$11)</f>
        <v>30607609.374999993</v>
      </c>
    </row>
    <row r="61" spans="2:7" x14ac:dyDescent="0.2">
      <c r="B61" s="24" t="s">
        <v>102</v>
      </c>
      <c r="C61" s="33">
        <f>C62-C60</f>
        <v>6500000</v>
      </c>
      <c r="D61" s="33">
        <f>D62-D60</f>
        <v>13975000</v>
      </c>
      <c r="E61" s="33">
        <f>E62-E60</f>
        <v>16071250</v>
      </c>
      <c r="F61" s="33">
        <f>F62-F60</f>
        <v>18481937.500000004</v>
      </c>
      <c r="G61" s="33">
        <f>G62-G60</f>
        <v>21254228.125</v>
      </c>
    </row>
    <row r="62" spans="2:7" x14ac:dyDescent="0.2">
      <c r="B62" s="19" t="s">
        <v>103</v>
      </c>
      <c r="C62" s="31">
        <f>$C$25*($C$26+(1-$C$26)*C27)</f>
        <v>24000000</v>
      </c>
      <c r="D62" s="31">
        <f>C62*(1+$C$11)+$C$25*(1-$C$26)*(D27-C27)</f>
        <v>34100000</v>
      </c>
      <c r="E62" s="31">
        <f>D62*(1+$C$11)+$C$25*(1-$C$26)*(E27-D27)</f>
        <v>39215000</v>
      </c>
      <c r="F62" s="31">
        <f>E62*(1+$C$11)+$C$25*(1-$C$26)*(F27-E27)</f>
        <v>45097250</v>
      </c>
      <c r="G62" s="31">
        <f>F62*(1+$C$11)+$C$25*(1-$C$26)*(G27-F27)</f>
        <v>51861837.499999993</v>
      </c>
    </row>
    <row r="63" spans="2:7" x14ac:dyDescent="0.2">
      <c r="B63" s="24" t="s">
        <v>104</v>
      </c>
      <c r="C63" s="33">
        <f>C62*C20</f>
        <v>48000000</v>
      </c>
      <c r="D63" s="33">
        <f>D62*D20</f>
        <v>136400000</v>
      </c>
      <c r="E63" s="33">
        <f>E62*E20</f>
        <v>235290000</v>
      </c>
      <c r="F63" s="33">
        <f>F62*F20</f>
        <v>360778000</v>
      </c>
      <c r="G63" s="33">
        <f>G62*G20</f>
        <v>518618374.99999994</v>
      </c>
    </row>
    <row r="64" spans="2:7" x14ac:dyDescent="0.2">
      <c r="B64" s="24" t="s">
        <v>105</v>
      </c>
      <c r="C64" s="33">
        <f>$C$30*$C$31</f>
        <v>12500000</v>
      </c>
      <c r="D64" s="33">
        <f>C64*(1+$C$11)</f>
        <v>14374999.999999998</v>
      </c>
      <c r="E64" s="33">
        <f>D64*(1+$C$11)</f>
        <v>16531249.999999996</v>
      </c>
      <c r="F64" s="33">
        <f>E64*(1+$C$11)</f>
        <v>19010937.499999993</v>
      </c>
      <c r="G64" s="33">
        <f>F64*(1+$C$11)</f>
        <v>21862578.124999989</v>
      </c>
    </row>
    <row r="65" spans="2:7" x14ac:dyDescent="0.2">
      <c r="B65" s="24" t="s">
        <v>106</v>
      </c>
      <c r="C65" s="33">
        <f>C66-C64</f>
        <v>47500000</v>
      </c>
      <c r="D65" s="33">
        <f>D66-D64</f>
        <v>102125000</v>
      </c>
      <c r="E65" s="33">
        <f>E66-E64</f>
        <v>117443749.99999999</v>
      </c>
      <c r="F65" s="33">
        <f>F66-F64</f>
        <v>135060312.49999997</v>
      </c>
      <c r="G65" s="33">
        <f>G66-G64</f>
        <v>155319359.37499994</v>
      </c>
    </row>
    <row r="66" spans="2:7" x14ac:dyDescent="0.2">
      <c r="B66" s="19" t="s">
        <v>107</v>
      </c>
      <c r="C66" s="31">
        <f>$C$30*($C$31+(1-$C$31)*C32)</f>
        <v>60000000</v>
      </c>
      <c r="D66" s="31">
        <f>C66*(1+$C$11)+$C$30*(1-$C$31)*(D32-C32)</f>
        <v>116500000</v>
      </c>
      <c r="E66" s="31">
        <f>D66*(1+$C$11)+$C$30*(1-$C$31)*(E32-D32)</f>
        <v>133974999.99999999</v>
      </c>
      <c r="F66" s="31">
        <f>E66*(1+$C$11)+$C$30*(1-$C$31)*(F32-E32)</f>
        <v>154071249.99999997</v>
      </c>
      <c r="G66" s="31">
        <f>F66*(1+$C$11)+$C$30*(1-$C$31)*(G32-F32)</f>
        <v>177181937.49999994</v>
      </c>
    </row>
    <row r="67" spans="2:7" x14ac:dyDescent="0.2">
      <c r="B67" s="24" t="s">
        <v>108</v>
      </c>
      <c r="C67" s="33">
        <f>C66*C21</f>
        <v>0</v>
      </c>
      <c r="D67" s="33">
        <f>D66*D21</f>
        <v>0</v>
      </c>
      <c r="E67" s="33">
        <f>E66*E21</f>
        <v>0</v>
      </c>
      <c r="F67" s="33">
        <f>F66*F21</f>
        <v>0</v>
      </c>
      <c r="G67" s="33">
        <f>G66*G21</f>
        <v>0</v>
      </c>
    </row>
    <row r="68" spans="2:7" x14ac:dyDescent="0.2">
      <c r="B68" s="19" t="s">
        <v>109</v>
      </c>
      <c r="C68" s="34">
        <f>C63+C67</f>
        <v>48000000</v>
      </c>
      <c r="D68" s="34">
        <f>D63+D67</f>
        <v>136400000</v>
      </c>
      <c r="E68" s="34">
        <f>E63+E67</f>
        <v>235290000</v>
      </c>
      <c r="F68" s="34">
        <f>F63+F67</f>
        <v>360778000</v>
      </c>
      <c r="G68" s="34">
        <f>G63+G67</f>
        <v>518618374.99999994</v>
      </c>
    </row>
    <row r="69" spans="2:7" x14ac:dyDescent="0.2">
      <c r="B69" s="19" t="s">
        <v>110</v>
      </c>
      <c r="C69" s="20">
        <v>0</v>
      </c>
      <c r="D69" s="20">
        <v>0.1</v>
      </c>
      <c r="E69" s="20">
        <v>0.15</v>
      </c>
      <c r="F69" s="20">
        <v>0.2</v>
      </c>
      <c r="G69" s="20">
        <v>0.25</v>
      </c>
    </row>
    <row r="70" spans="2:7" hidden="1" x14ac:dyDescent="0.2"/>
    <row r="71" spans="2:7" x14ac:dyDescent="0.2">
      <c r="B71" s="24" t="s">
        <v>111</v>
      </c>
      <c r="C71" s="35" t="str">
        <f>IF(C68&lt;=50000000,"Fase 1",IF(C68&lt;=250000000,"Fase 2",IF(C68&lt;=$C$14,"Fase 3","Fase 4")))</f>
        <v>Fase 1</v>
      </c>
      <c r="D71" s="35" t="str">
        <f>IF(D68&lt;=50000000,"Fase 1",IF(D68&lt;=250000000,"Fase 2",IF(D68&lt;=$C$14,"Fase 3","Fase 4")))</f>
        <v>Fase 2</v>
      </c>
      <c r="E71" s="35" t="str">
        <f>IF(E68&lt;=50000000,"Fase 1",IF(E68&lt;=250000000,"Fase 2",IF(E68&lt;=$C$14,"Fase 3","Fase 4")))</f>
        <v>Fase 2</v>
      </c>
      <c r="F71" s="35" t="str">
        <f>IF(F68&lt;=50000000,"Fase 1",IF(F68&lt;=250000000,"Fase 2",IF(F68&lt;=$C$14,"Fase 3","Fase 4")))</f>
        <v>Fase 3</v>
      </c>
      <c r="G71" s="35" t="str">
        <f>IF(G68&lt;=50000000,"Fase 1",IF(G68&lt;=250000000,"Fase 2",IF(G68&lt;=$C$14,"Fase 3","Fase 4")))</f>
        <v>Fase 4</v>
      </c>
    </row>
    <row r="72" spans="2:7" hidden="1" x14ac:dyDescent="0.2">
      <c r="C72">
        <f>IF(C68&lt;$C$14,$C$15,0)</f>
        <v>0.15</v>
      </c>
      <c r="D72">
        <f>IF(D68&lt;$C$14,$C$15,0)</f>
        <v>0.15</v>
      </c>
      <c r="E72">
        <f>IF(E68&lt;$C$14,$C$15,0)</f>
        <v>0.15</v>
      </c>
      <c r="F72">
        <f>IF(F68&lt;$C$14,$C$15,0)</f>
        <v>0.15</v>
      </c>
      <c r="G72">
        <f>IF(G68&lt;$C$14,$C$15,0)</f>
        <v>0</v>
      </c>
    </row>
    <row r="73" spans="2:7" hidden="1" x14ac:dyDescent="0.2">
      <c r="B73" s="24" t="s">
        <v>112</v>
      </c>
      <c r="C73" s="31">
        <f>IF(C68&lt;=50000000,$C$54,IF(C68&lt;=250000000,$C$55,$C$56))</f>
        <v>3990</v>
      </c>
      <c r="D73" s="31">
        <f>IF(D68&lt;=50000000,$C$54,IF(D68&lt;=250000000,$C$55,$C$56))</f>
        <v>8990</v>
      </c>
      <c r="E73" s="31">
        <f>IF(E68&lt;=50000000,$C$54,IF(E68&lt;=250000000,$C$55,$C$56))</f>
        <v>8990</v>
      </c>
      <c r="F73" s="31">
        <f>IF(F68&lt;=50000000,$C$54,IF(F68&lt;=250000000,$C$55,$C$56))</f>
        <v>22000</v>
      </c>
      <c r="G73" s="31">
        <f>IF(G68&lt;=50000000,$C$54,IF(G68&lt;=250000000,$C$55,$C$56))</f>
        <v>22000</v>
      </c>
    </row>
    <row r="74" spans="2:7" x14ac:dyDescent="0.2">
      <c r="B74" s="24" t="s">
        <v>113</v>
      </c>
      <c r="C74" s="31">
        <f>IF(C68&lt;=50000000,0,IF(C68&lt;=250000000,$C$40*C22,$C$51))</f>
        <v>0</v>
      </c>
      <c r="D74" s="31">
        <f>IF(D68&lt;=50000000,0,IF(D68&lt;=250000000,$C$40*D22,$C$51))</f>
        <v>4000</v>
      </c>
      <c r="E74" s="31">
        <f>IF(E68&lt;=50000000,0,IF(E68&lt;=250000000,$C$40*E22,$C$51))</f>
        <v>6000</v>
      </c>
      <c r="F74" s="31">
        <f>IF(F68&lt;=50000000,0,IF(F68&lt;=250000000,$C$40*F22,$C$51))</f>
        <v>13448</v>
      </c>
      <c r="G74" s="31">
        <f>IF(G68&lt;=50000000,0,IF(G68&lt;=250000000,$C$40*G22,$C$51))</f>
        <v>13448</v>
      </c>
    </row>
    <row r="75" spans="2:7" ht="4" customHeight="1" x14ac:dyDescent="0.2"/>
    <row r="76" spans="2:7" ht="18" x14ac:dyDescent="0.2">
      <c r="B76" s="63" t="s">
        <v>114</v>
      </c>
      <c r="C76" s="60"/>
      <c r="D76" s="60"/>
      <c r="E76" s="60"/>
      <c r="F76" s="60"/>
      <c r="G76" s="60"/>
    </row>
    <row r="77" spans="2:7" x14ac:dyDescent="0.2">
      <c r="B77" s="32"/>
      <c r="C77" s="32" t="s">
        <v>62</v>
      </c>
      <c r="D77" s="32" t="s">
        <v>63</v>
      </c>
      <c r="E77" s="32" t="s">
        <v>64</v>
      </c>
      <c r="F77" s="32" t="s">
        <v>65</v>
      </c>
      <c r="G77" s="32" t="s">
        <v>66</v>
      </c>
    </row>
    <row r="78" spans="2:7" x14ac:dyDescent="0.2">
      <c r="B78" s="19" t="s">
        <v>115</v>
      </c>
      <c r="C78" s="36">
        <f>(C63+C67)*$C$8*(1+C69)</f>
        <v>288000</v>
      </c>
      <c r="D78" s="36">
        <f>(D63+D67)*$C$8*(1+D69)</f>
        <v>900240.00000000012</v>
      </c>
      <c r="E78" s="36">
        <f>(E63+E67)*$C$8*(1+E69)</f>
        <v>1623500.9999999998</v>
      </c>
      <c r="F78" s="36">
        <f>(F63+F67)*$C$8*(1+F69)</f>
        <v>2597601.6</v>
      </c>
      <c r="G78" s="36">
        <f>(G63+G67)*$C$8*(1+G69)</f>
        <v>3889637.8124999995</v>
      </c>
    </row>
    <row r="79" spans="2:7" x14ac:dyDescent="0.2">
      <c r="B79" s="24" t="s">
        <v>116</v>
      </c>
      <c r="C79" s="31">
        <f>C78*$C$9</f>
        <v>43200</v>
      </c>
      <c r="D79" s="31">
        <f>D78*$C$9</f>
        <v>135036</v>
      </c>
      <c r="E79" s="31">
        <f>E78*$C$9</f>
        <v>243525.14999999997</v>
      </c>
      <c r="F79" s="31">
        <f>F78*$C$9</f>
        <v>389640.24</v>
      </c>
      <c r="G79" s="31">
        <f>G78*$C$9</f>
        <v>583445.67187499988</v>
      </c>
    </row>
    <row r="80" spans="2:7" x14ac:dyDescent="0.2">
      <c r="B80" s="19" t="s">
        <v>117</v>
      </c>
      <c r="C80" s="36">
        <f>C78-C79</f>
        <v>244800</v>
      </c>
      <c r="D80" s="36">
        <f>D78-D79</f>
        <v>765204.00000000012</v>
      </c>
      <c r="E80" s="36">
        <f>E78-E79</f>
        <v>1379975.8499999999</v>
      </c>
      <c r="F80" s="36">
        <f>F78-F79</f>
        <v>2207961.3600000003</v>
      </c>
      <c r="G80" s="36">
        <f>G78-G79</f>
        <v>3306192.1406249995</v>
      </c>
    </row>
    <row r="81" spans="2:7" ht="4" customHeight="1" x14ac:dyDescent="0.2"/>
    <row r="82" spans="2:7" x14ac:dyDescent="0.2">
      <c r="B82" s="19" t="s">
        <v>118</v>
      </c>
      <c r="C82" s="36">
        <f>IF(C68&lt;$C$14,C80*$C$15,0)+(C80-IF(C68&lt;$C$14,C80*$C$15,0))*$C$10</f>
        <v>182376</v>
      </c>
      <c r="D82" s="36">
        <f>IF(D68&lt;$C$14,D80*$C$15,0)+(D80-IF(D68&lt;$C$14,D80*$C$15,0))*$C$10</f>
        <v>570076.9800000001</v>
      </c>
      <c r="E82" s="36">
        <f>IF(E68&lt;$C$14,E80*$C$15,0)+(E80-IF(E68&lt;$C$14,E80*$C$15,0))*$C$10</f>
        <v>1028082.0082499998</v>
      </c>
      <c r="F82" s="36">
        <f>IF(F68&lt;$C$14,F80*$C$15,0)+(F80-IF(F68&lt;$C$14,F80*$C$15,0))*$C$10</f>
        <v>1644931.2132000001</v>
      </c>
      <c r="G82" s="36">
        <f>IF(G68&lt;$C$14,G80*$C$15,0)+(G80-IF(G68&lt;$C$14,G80*$C$15,0))*$C$10</f>
        <v>2314334.4984374996</v>
      </c>
    </row>
    <row r="83" spans="2:7" hidden="1" x14ac:dyDescent="0.2"/>
    <row r="84" spans="2:7" hidden="1" x14ac:dyDescent="0.2"/>
    <row r="85" spans="2:7" hidden="1" x14ac:dyDescent="0.2"/>
    <row r="86" spans="2:7" ht="4" customHeight="1" x14ac:dyDescent="0.2"/>
    <row r="87" spans="2:7" x14ac:dyDescent="0.2">
      <c r="B87" s="19" t="s">
        <v>119</v>
      </c>
      <c r="C87" s="37">
        <f>C80-C82</f>
        <v>62424</v>
      </c>
      <c r="D87" s="37">
        <f>D80-D82</f>
        <v>195127.02000000002</v>
      </c>
      <c r="E87" s="37">
        <f>E80-E82</f>
        <v>351893.84175000002</v>
      </c>
      <c r="F87" s="37">
        <f>F80-F82</f>
        <v>563030.14680000022</v>
      </c>
      <c r="G87" s="37">
        <f>G80-G82</f>
        <v>991857.64218749991</v>
      </c>
    </row>
    <row r="88" spans="2:7" x14ac:dyDescent="0.2">
      <c r="B88" s="24" t="s">
        <v>120</v>
      </c>
      <c r="C88" s="38">
        <f>IF(C78&gt;0,C87/C78,0)</f>
        <v>0.21675</v>
      </c>
      <c r="D88" s="38">
        <f>IF(D78&gt;0,D87/D78,0)</f>
        <v>0.21675</v>
      </c>
      <c r="E88" s="38">
        <f>IF(E78&gt;0,E87/E78,0)</f>
        <v>0.21675000000000005</v>
      </c>
      <c r="F88" s="38">
        <f>IF(F78&gt;0,F87/F78,0)</f>
        <v>0.21675000000000008</v>
      </c>
      <c r="G88" s="38">
        <f>IF(G78&gt;0,G87/G78,0)</f>
        <v>0.255</v>
      </c>
    </row>
    <row r="89" spans="2:7" ht="4" customHeight="1" x14ac:dyDescent="0.2"/>
    <row r="90" spans="2:7" x14ac:dyDescent="0.2">
      <c r="B90" s="19" t="s">
        <v>121</v>
      </c>
      <c r="C90" s="36">
        <f>C73*12+C74*12</f>
        <v>47880</v>
      </c>
      <c r="D90" s="36">
        <f>D73*12+D74*12</f>
        <v>155880</v>
      </c>
      <c r="E90" s="36">
        <f>E73*12+E74*12</f>
        <v>179880</v>
      </c>
      <c r="F90" s="36">
        <f>F73*12+F74*12</f>
        <v>425376</v>
      </c>
      <c r="G90" s="36">
        <f>G73*12+G74*12</f>
        <v>425376</v>
      </c>
    </row>
    <row r="91" spans="2:7" x14ac:dyDescent="0.2">
      <c r="B91" s="39" t="s">
        <v>122</v>
      </c>
      <c r="C91" s="40">
        <f t="shared" ref="C91:G92" si="0">C73*12</f>
        <v>47880</v>
      </c>
      <c r="D91" s="40">
        <f t="shared" si="0"/>
        <v>107880</v>
      </c>
      <c r="E91" s="40">
        <f t="shared" si="0"/>
        <v>107880</v>
      </c>
      <c r="F91" s="40">
        <f t="shared" si="0"/>
        <v>264000</v>
      </c>
      <c r="G91" s="40">
        <f t="shared" si="0"/>
        <v>264000</v>
      </c>
    </row>
    <row r="92" spans="2:7" x14ac:dyDescent="0.2">
      <c r="B92" s="39" t="s">
        <v>123</v>
      </c>
      <c r="C92" s="40">
        <f t="shared" si="0"/>
        <v>0</v>
      </c>
      <c r="D92" s="40">
        <f t="shared" si="0"/>
        <v>48000</v>
      </c>
      <c r="E92" s="40">
        <f t="shared" si="0"/>
        <v>72000</v>
      </c>
      <c r="F92" s="40">
        <f t="shared" si="0"/>
        <v>161376</v>
      </c>
      <c r="G92" s="40">
        <f t="shared" si="0"/>
        <v>161376</v>
      </c>
    </row>
    <row r="93" spans="2:7" hidden="1" x14ac:dyDescent="0.2"/>
    <row r="94" spans="2:7" ht="4" customHeight="1" x14ac:dyDescent="0.2"/>
    <row r="95" spans="2:7" ht="16" x14ac:dyDescent="0.2">
      <c r="B95" s="19" t="s">
        <v>124</v>
      </c>
      <c r="C95" s="41">
        <f>C87-C90</f>
        <v>14544</v>
      </c>
      <c r="D95" s="41">
        <f>D87-D90</f>
        <v>39247.020000000019</v>
      </c>
      <c r="E95" s="41">
        <f>E87-E90</f>
        <v>172013.84175000002</v>
      </c>
      <c r="F95" s="41">
        <f>F87-F90</f>
        <v>137654.14680000022</v>
      </c>
      <c r="G95" s="41">
        <f>G87-G90</f>
        <v>566481.64218749991</v>
      </c>
    </row>
    <row r="96" spans="2:7" x14ac:dyDescent="0.2">
      <c r="B96" s="24" t="s">
        <v>125</v>
      </c>
      <c r="C96" s="38">
        <f>IF(C78&gt;0,C95/C78,0)</f>
        <v>5.0500000000000003E-2</v>
      </c>
      <c r="D96" s="38">
        <f>IF(D78&gt;0,D95/D78,0)</f>
        <v>4.3596174353505747E-2</v>
      </c>
      <c r="E96" s="38">
        <f>IF(E78&gt;0,E95/E78,0)</f>
        <v>0.10595240886824218</v>
      </c>
      <c r="F96" s="38">
        <f>IF(F78&gt;0,F95/F78,0)</f>
        <v>5.2992786422675527E-2</v>
      </c>
      <c r="G96" s="38">
        <f>IF(G78&gt;0,G95/G78,0)</f>
        <v>0.14563866084575194</v>
      </c>
    </row>
    <row r="97" spans="2:7" x14ac:dyDescent="0.2">
      <c r="B97" s="19" t="s">
        <v>126</v>
      </c>
      <c r="C97" s="42">
        <f>C95/12</f>
        <v>1212</v>
      </c>
      <c r="D97" s="42">
        <f>D95/12</f>
        <v>3270.5850000000014</v>
      </c>
      <c r="E97" s="42">
        <f>E95/12</f>
        <v>14334.486812500001</v>
      </c>
      <c r="F97" s="42">
        <f>F95/12</f>
        <v>11471.178900000019</v>
      </c>
      <c r="G97" s="42">
        <f>G95/12</f>
        <v>47206.80351562499</v>
      </c>
    </row>
    <row r="98" spans="2:7" ht="6" customHeight="1" x14ac:dyDescent="0.2"/>
    <row r="99" spans="2:7" x14ac:dyDescent="0.2">
      <c r="B99" s="59" t="s">
        <v>127</v>
      </c>
      <c r="C99" s="60"/>
      <c r="D99" s="60"/>
      <c r="E99" s="60"/>
      <c r="F99" s="60"/>
      <c r="G99" s="60"/>
    </row>
    <row r="100" spans="2:7" x14ac:dyDescent="0.2">
      <c r="B100" s="32"/>
      <c r="C100" s="32" t="s">
        <v>62</v>
      </c>
      <c r="D100" s="32" t="s">
        <v>63</v>
      </c>
      <c r="E100" s="32" t="s">
        <v>64</v>
      </c>
      <c r="F100" s="32" t="s">
        <v>65</v>
      </c>
      <c r="G100" s="32" t="s">
        <v>66</v>
      </c>
    </row>
    <row r="101" spans="2:7" x14ac:dyDescent="0.2">
      <c r="B101" s="19" t="s">
        <v>128</v>
      </c>
      <c r="C101" s="43">
        <f>IF(AND(C20&gt;0,C68&gt;0),(C80*(1-C72)*$C$10*C63/C68)/C20/12,0)</f>
        <v>6069</v>
      </c>
      <c r="D101" s="43">
        <f>IF(AND(D20&gt;0,D68&gt;0),(D80*(1-D72)*$C$10*D63/D68)/D20/12,0)</f>
        <v>9485.3412500000013</v>
      </c>
      <c r="E101" s="43">
        <f>IF(AND(E20&gt;0,E68&gt;0),(E80*(1-E72)*$C$10*E63/E68)/E20/12,0)</f>
        <v>11403.967093749998</v>
      </c>
      <c r="F101" s="43">
        <f>IF(AND(F20&gt;0,F68&gt;0),(F80*(1-F72)*$C$10*F63/F68)/F20/12,0)</f>
        <v>13684.760512499999</v>
      </c>
      <c r="G101" s="43">
        <f>IF(AND(G20&gt;0,G68&gt;0),(G80*(1-G72)*$C$10*G63/G68)/G20/12,0)</f>
        <v>19286.120820312495</v>
      </c>
    </row>
    <row r="102" spans="2:7" x14ac:dyDescent="0.2">
      <c r="B102" s="19" t="s">
        <v>129</v>
      </c>
      <c r="C102" s="43">
        <f>IF(AND(C21&gt;0,C68&gt;0),(C80*(1-C72)*$C$10*C67/C68)/C21/12,0)</f>
        <v>0</v>
      </c>
      <c r="D102" s="43">
        <f>IF(AND(D21&gt;0,D68&gt;0),(D80*(1-D72)*$C$10*D67/D68)/D21/12,0)</f>
        <v>0</v>
      </c>
      <c r="E102" s="43">
        <f>IF(AND(E21&gt;0,E68&gt;0),(E80*(1-E72)*$C$10*E67/E68)/E21/12,0)</f>
        <v>0</v>
      </c>
      <c r="F102" s="43">
        <f>IF(AND(F21&gt;0,F68&gt;0),(F80*(1-F72)*$C$10*F67/F68)/F21/12,0)</f>
        <v>0</v>
      </c>
      <c r="G102" s="43">
        <f>IF(AND(G21&gt;0,G68&gt;0),(G80*(1-G72)*$C$10*G67/G68)/G21/12,0)</f>
        <v>0</v>
      </c>
    </row>
    <row r="103" spans="2:7" ht="4" customHeight="1" x14ac:dyDescent="0.2"/>
    <row r="104" spans="2:7" ht="16" x14ac:dyDescent="0.2">
      <c r="B104" s="19" t="s">
        <v>130</v>
      </c>
      <c r="C104" s="41">
        <f>C97</f>
        <v>1212</v>
      </c>
      <c r="D104" s="41">
        <f>D97</f>
        <v>3270.5850000000014</v>
      </c>
      <c r="E104" s="41">
        <f>E97</f>
        <v>14334.486812500001</v>
      </c>
      <c r="F104" s="41">
        <f>F97</f>
        <v>11471.178900000019</v>
      </c>
      <c r="G104" s="41">
        <f>G97</f>
        <v>47206.80351562499</v>
      </c>
    </row>
    <row r="105" spans="2:7" ht="4" customHeight="1" x14ac:dyDescent="0.2"/>
    <row r="106" spans="2:7" x14ac:dyDescent="0.2">
      <c r="B106" s="65" t="s">
        <v>131</v>
      </c>
      <c r="C106" s="47"/>
      <c r="D106" s="47"/>
      <c r="E106" s="47"/>
      <c r="F106" s="47"/>
      <c r="G106" s="47"/>
    </row>
    <row r="107" spans="2:7" ht="6" customHeight="1" x14ac:dyDescent="0.2"/>
    <row r="108" spans="2:7" x14ac:dyDescent="0.2">
      <c r="B108" s="62" t="s">
        <v>132</v>
      </c>
      <c r="C108" s="47"/>
      <c r="D108" s="47"/>
      <c r="E108" s="47"/>
      <c r="F108" s="47"/>
      <c r="G108" s="47"/>
    </row>
    <row r="110" spans="2:7" ht="32" customHeight="1" x14ac:dyDescent="0.2">
      <c r="B110" s="49" t="s">
        <v>28</v>
      </c>
      <c r="C110" s="50"/>
      <c r="D110" s="50"/>
      <c r="E110" s="50"/>
      <c r="F110" s="50"/>
      <c r="G110" s="50"/>
    </row>
  </sheetData>
  <sheetProtection password="FF68" sheet="1" formatCells="0" formatColumns="0" formatRows="0"/>
  <mergeCells count="19">
    <mergeCell ref="B110:G110"/>
    <mergeCell ref="B4:G4"/>
    <mergeCell ref="B106:G106"/>
    <mergeCell ref="B7:G7"/>
    <mergeCell ref="B3:G3"/>
    <mergeCell ref="B18:G18"/>
    <mergeCell ref="B58:G58"/>
    <mergeCell ref="B99:G99"/>
    <mergeCell ref="B108:G108"/>
    <mergeCell ref="B24:G24"/>
    <mergeCell ref="B5:G5"/>
    <mergeCell ref="B76:G76"/>
    <mergeCell ref="B2:G2"/>
    <mergeCell ref="B44:D44"/>
    <mergeCell ref="B13:G13"/>
    <mergeCell ref="B53:D53"/>
    <mergeCell ref="B29:G29"/>
    <mergeCell ref="C35:D35"/>
    <mergeCell ref="B34:G34"/>
  </mergeCells>
  <conditionalFormatting sqref="C95:G95">
    <cfRule type="cellIs" dxfId="2" priority="1" operator="lessThan">
      <formula>0</formula>
    </cfRule>
  </conditionalFormatting>
  <conditionalFormatting sqref="C97:G97">
    <cfRule type="cellIs" dxfId="1" priority="2" operator="lessThan">
      <formula>0</formula>
    </cfRule>
  </conditionalFormatting>
  <conditionalFormatting sqref="C104:G104">
    <cfRule type="cellIs" dxfId="0" priority="3" operator="lessThan">
      <formula>0</formula>
    </cfRule>
  </conditionalFormatting>
  <dataValidations count="1">
    <dataValidation type="list" errorTitle="Região inválida" error="Selecione uma região da lista" sqref="C35" xr:uid="{00000000-0002-0000-0200-000000000000}">
      <formula1>"Home Office,SP (Média),SP (Faria Lima),SP (Paulista),RJ,BH,Curitiba,POA,Brasília,Florianópolis,Salvador,Recife,Campinas,Goiânia,Ribeirão Preto"</formula1>
    </dataValidation>
  </dataValidations>
  <hyperlinks>
    <hyperlink ref="H2" location="'Capa'!A1" display="← Capa" xr:uid="{00000000-0004-0000-0200-000000000000}"/>
    <hyperlink ref="B5" r:id="rId1" xr:uid="{00000000-0004-0000-0200-000001000000}"/>
    <hyperlink ref="B110" r:id="rId2" xr:uid="{00000000-0004-0000-0200-000002000000}"/>
  </hyperlinks>
  <pageMargins left="0.75" right="0.75" top="1" bottom="1" header="0.5" footer="0.5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92927"/>
  </sheetPr>
  <dimension ref="A1:C31"/>
  <sheetViews>
    <sheetView showGridLines="0" topLeftCell="A5" workbookViewId="0">
      <selection activeCell="B15" sqref="B15"/>
    </sheetView>
  </sheetViews>
  <sheetFormatPr baseColWidth="10" defaultColWidth="8.83203125" defaultRowHeight="15" x14ac:dyDescent="0.2"/>
  <cols>
    <col min="1" max="1" width="2" customWidth="1"/>
    <col min="2" max="2" width="70" customWidth="1"/>
    <col min="3" max="3" width="4" customWidth="1"/>
  </cols>
  <sheetData>
    <row r="1" spans="1:3" ht="10" customHeight="1" x14ac:dyDescent="0.2">
      <c r="A1" s="1"/>
      <c r="B1" s="1"/>
      <c r="C1" s="1"/>
    </row>
    <row r="2" spans="1:3" ht="26" x14ac:dyDescent="0.2">
      <c r="A2" s="1"/>
      <c r="B2" s="17" t="s">
        <v>133</v>
      </c>
      <c r="C2" s="18" t="s">
        <v>50</v>
      </c>
    </row>
    <row r="3" spans="1:3" x14ac:dyDescent="0.2">
      <c r="A3" s="1"/>
      <c r="B3" s="1"/>
      <c r="C3" s="1"/>
    </row>
    <row r="5" spans="1:3" ht="30" x14ac:dyDescent="0.2">
      <c r="B5" s="44" t="s">
        <v>134</v>
      </c>
    </row>
    <row r="7" spans="1:3" ht="30" x14ac:dyDescent="0.2">
      <c r="B7" s="44" t="s">
        <v>135</v>
      </c>
    </row>
    <row r="8" spans="1:3" x14ac:dyDescent="0.2">
      <c r="B8" s="45" t="s">
        <v>136</v>
      </c>
    </row>
    <row r="9" spans="1:3" x14ac:dyDescent="0.2">
      <c r="B9" s="45" t="s">
        <v>137</v>
      </c>
    </row>
    <row r="10" spans="1:3" x14ac:dyDescent="0.2">
      <c r="B10" s="45" t="s">
        <v>138</v>
      </c>
    </row>
    <row r="12" spans="1:3" ht="30" x14ac:dyDescent="0.2">
      <c r="B12" s="44" t="s">
        <v>139</v>
      </c>
    </row>
    <row r="13" spans="1:3" ht="30" x14ac:dyDescent="0.2">
      <c r="B13" s="45" t="s">
        <v>140</v>
      </c>
    </row>
    <row r="14" spans="1:3" ht="30" x14ac:dyDescent="0.2">
      <c r="B14" s="44" t="s">
        <v>141</v>
      </c>
    </row>
    <row r="15" spans="1:3" x14ac:dyDescent="0.2">
      <c r="B15" s="45" t="s">
        <v>142</v>
      </c>
    </row>
    <row r="21" spans="1:3" x14ac:dyDescent="0.2">
      <c r="B21" s="44" t="s">
        <v>143</v>
      </c>
    </row>
    <row r="22" spans="1:3" x14ac:dyDescent="0.2">
      <c r="B22" s="45" t="s">
        <v>144</v>
      </c>
    </row>
    <row r="23" spans="1:3" x14ac:dyDescent="0.2">
      <c r="B23" s="45" t="s">
        <v>145</v>
      </c>
    </row>
    <row r="25" spans="1:3" x14ac:dyDescent="0.2">
      <c r="B25" s="44" t="s">
        <v>146</v>
      </c>
    </row>
    <row r="27" spans="1:3" ht="30" x14ac:dyDescent="0.2">
      <c r="B27" s="44" t="s">
        <v>132</v>
      </c>
    </row>
    <row r="29" spans="1:3" x14ac:dyDescent="0.2">
      <c r="B29" s="44" t="s">
        <v>147</v>
      </c>
    </row>
    <row r="31" spans="1:3" ht="32" customHeight="1" x14ac:dyDescent="0.2">
      <c r="A31" s="49" t="s">
        <v>28</v>
      </c>
      <c r="B31" s="50"/>
      <c r="C31" s="50"/>
    </row>
  </sheetData>
  <sheetProtection password="FF68" sheet="1" formatCells="0" formatColumns="0" formatRows="0"/>
  <mergeCells count="1">
    <mergeCell ref="A31:C31"/>
  </mergeCells>
  <hyperlinks>
    <hyperlink ref="C2" location="'Capa'!A1" display="← Capa" xr:uid="{00000000-0004-0000-0300-000000000000}"/>
    <hyperlink ref="A31" r:id="rId1" xr:uid="{00000000-0004-0000-0300-000001000000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Capa</vt:lpstr>
      <vt:lpstr>Ref Custos</vt:lpstr>
      <vt:lpstr>DRE Consultoria</vt:lpstr>
      <vt:lpstr>Sobre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filipe medeiros</cp:lastModifiedBy>
  <dcterms:created xsi:type="dcterms:W3CDTF">2026-03-16T12:43:27Z</dcterms:created>
  <dcterms:modified xsi:type="dcterms:W3CDTF">2026-03-16T12:50:03Z</dcterms:modified>
</cp:coreProperties>
</file>